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chartsheets/sheet1.xml" ContentType="application/vnd.openxmlformats-officedocument.spreadsheetml.chartsheet+xml"/>
  <Override PartName="/xl/chartsheets/sheet2.xml" ContentType="application/vnd.openxmlformats-officedocument.spreadsheetml.chartsheet+xml"/>
  <Override PartName="/xl/chartsheets/sheet3.xml" ContentType="application/vnd.openxmlformats-officedocument.spreadsheetml.chartsheet+xml"/>
  <Override PartName="/xl/chartsheets/sheet4.xml" ContentType="application/vnd.openxmlformats-officedocument.spreadsheetml.chart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5.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fg3prf\Documents\Excel Docs\NCP134x\Design Guides\"/>
    </mc:Choice>
  </mc:AlternateContent>
  <workbookProtection workbookAlgorithmName="SHA-512" workbookHashValue="IIfUmfSwYQJ2Bv6//yFyuf+WwgNTorkWUOlniVIJbDMi5JMBFyTWFd7+KR6fg47eH+ehbUIICmqatJ4PKbI3jg==" workbookSaltValue="1+QaGac/0zJe7LDQBCnkrw==" workbookSpinCount="100000" lockStructure="1"/>
  <bookViews>
    <workbookView xWindow="0" yWindow="0" windowWidth="28770" windowHeight="12360" firstSheet="2" activeTab="2"/>
  </bookViews>
  <sheets>
    <sheet name="Introduction" sheetId="3" r:id="rId1"/>
    <sheet name="Step 1 - Device Parameters" sheetId="1" r:id="rId2"/>
    <sheet name="Step 2 - Operating Conditions" sheetId="2" r:id="rId3"/>
    <sheet name="Cbulk Calc" sheetId="14" state="hidden" r:id="rId4"/>
    <sheet name="Vmin-other" sheetId="15" state="hidden" r:id="rId5"/>
    <sheet name="Step 2A -  Other Conditions" sheetId="13" r:id="rId6"/>
    <sheet name="Step 3 - Component Selection" sheetId="4" r:id="rId7"/>
    <sheet name="Step 4 - Transformer Spec" sheetId="5" r:id="rId8"/>
    <sheet name="Step 5 - Loop Stability" sheetId="12" r:id="rId9"/>
    <sheet name="Loop Stability Worksht" sheetId="6" state="hidden" r:id="rId10"/>
    <sheet name="Loop Gain" sheetId="9" r:id="rId11"/>
    <sheet name="Plant Gain-Phase" sheetId="8" r:id="rId12"/>
    <sheet name="Compensator Response" sheetId="11" r:id="rId13"/>
    <sheet name="TL431 Freq Response" sheetId="10" state="hidden" r:id="rId14"/>
    <sheet name="Resistor Values" sheetId="7" state="hidden" r:id="rId15"/>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36" i="13" l="1"/>
  <c r="G36" i="13"/>
  <c r="F36" i="13"/>
  <c r="J36" i="13"/>
  <c r="J4" i="4"/>
  <c r="J17" i="13"/>
  <c r="J12" i="13"/>
  <c r="D24" i="6" l="1"/>
  <c r="J8" i="2"/>
  <c r="BB9" i="12"/>
  <c r="G42" i="4" l="1"/>
  <c r="D54" i="12" l="1"/>
  <c r="BB13" i="12"/>
  <c r="BB10" i="12" l="1"/>
  <c r="BB11" i="12" s="1"/>
  <c r="V30" i="2"/>
  <c r="G30" i="4"/>
  <c r="D52" i="12"/>
  <c r="E7" i="15"/>
  <c r="E11" i="15"/>
  <c r="H10" i="15"/>
  <c r="H11" i="15" s="1"/>
  <c r="H7" i="15"/>
  <c r="H8" i="15" s="1"/>
  <c r="H9" i="15" s="1"/>
  <c r="H6" i="15"/>
  <c r="E6" i="15"/>
  <c r="E9" i="15" s="1"/>
  <c r="G45" i="13"/>
  <c r="F45" i="13"/>
  <c r="E45" i="13"/>
  <c r="C41" i="13"/>
  <c r="E11" i="14"/>
  <c r="H6" i="14"/>
  <c r="H7" i="14" s="1"/>
  <c r="H8" i="14" s="1"/>
  <c r="H9" i="14" s="1"/>
  <c r="H10" i="14" s="1"/>
  <c r="H11" i="14" s="1"/>
  <c r="H12" i="14" s="1"/>
  <c r="H13" i="14" s="1"/>
  <c r="H14" i="14" s="1"/>
  <c r="H15" i="14" s="1"/>
  <c r="H16" i="14" s="1"/>
  <c r="H17" i="14" s="1"/>
  <c r="H18" i="14" s="1"/>
  <c r="H19" i="14" s="1"/>
  <c r="H20" i="14" s="1"/>
  <c r="H21" i="14" s="1"/>
  <c r="H22" i="14" s="1"/>
  <c r="H23" i="14" s="1"/>
  <c r="H24" i="14" s="1"/>
  <c r="H25" i="14" s="1"/>
  <c r="H26" i="14" s="1"/>
  <c r="H27" i="14" s="1"/>
  <c r="H28" i="14" s="1"/>
  <c r="H29" i="14" s="1"/>
  <c r="H30" i="14" s="1"/>
  <c r="H31" i="14" s="1"/>
  <c r="H32" i="14" s="1"/>
  <c r="H33" i="14" s="1"/>
  <c r="H34" i="14" s="1"/>
  <c r="H35" i="14" s="1"/>
  <c r="H36" i="14" s="1"/>
  <c r="H37" i="14" s="1"/>
  <c r="H38" i="14" s="1"/>
  <c r="H39" i="14" s="1"/>
  <c r="H40" i="14" s="1"/>
  <c r="H41" i="14" s="1"/>
  <c r="H42" i="14" s="1"/>
  <c r="H43" i="14" s="1"/>
  <c r="H44" i="14" s="1"/>
  <c r="H45" i="14" s="1"/>
  <c r="H46" i="14" s="1"/>
  <c r="H47" i="14" s="1"/>
  <c r="H48" i="14" s="1"/>
  <c r="H49" i="14" s="1"/>
  <c r="H50" i="14" s="1"/>
  <c r="H51" i="14" s="1"/>
  <c r="H52" i="14" s="1"/>
  <c r="H53" i="14" s="1"/>
  <c r="H54" i="14" s="1"/>
  <c r="H55" i="14" s="1"/>
  <c r="H56" i="14" s="1"/>
  <c r="H57" i="14" s="1"/>
  <c r="H58" i="14" s="1"/>
  <c r="H59" i="14" s="1"/>
  <c r="H60" i="14" s="1"/>
  <c r="H61" i="14" s="1"/>
  <c r="H62" i="14" s="1"/>
  <c r="H63" i="14" s="1"/>
  <c r="H64" i="14" s="1"/>
  <c r="H65" i="14" s="1"/>
  <c r="H66" i="14" s="1"/>
  <c r="H67" i="14" s="1"/>
  <c r="H68" i="14" s="1"/>
  <c r="H69" i="14" s="1"/>
  <c r="H70" i="14" s="1"/>
  <c r="H71" i="14" s="1"/>
  <c r="H72" i="14" s="1"/>
  <c r="H73" i="14" s="1"/>
  <c r="H74" i="14" s="1"/>
  <c r="H75" i="14" s="1"/>
  <c r="H76" i="14" s="1"/>
  <c r="H77" i="14" s="1"/>
  <c r="H78" i="14" s="1"/>
  <c r="H79" i="14" s="1"/>
  <c r="H80" i="14" s="1"/>
  <c r="H81" i="14" s="1"/>
  <c r="H82" i="14" s="1"/>
  <c r="H83" i="14" s="1"/>
  <c r="H84" i="14" s="1"/>
  <c r="H85" i="14" s="1"/>
  <c r="H86" i="14" s="1"/>
  <c r="H87" i="14" s="1"/>
  <c r="H88" i="14" s="1"/>
  <c r="H89" i="14" s="1"/>
  <c r="H90" i="14" s="1"/>
  <c r="H91" i="14" s="1"/>
  <c r="H92" i="14" s="1"/>
  <c r="H93" i="14" s="1"/>
  <c r="H94" i="14" s="1"/>
  <c r="H95" i="14" s="1"/>
  <c r="H96" i="14" s="1"/>
  <c r="H97" i="14" s="1"/>
  <c r="H98" i="14" s="1"/>
  <c r="H99" i="14" s="1"/>
  <c r="H100" i="14" s="1"/>
  <c r="H101" i="14" s="1"/>
  <c r="H102" i="14" s="1"/>
  <c r="H103" i="14" s="1"/>
  <c r="H104" i="14" s="1"/>
  <c r="H105" i="14" s="1"/>
  <c r="H106" i="14" s="1"/>
  <c r="H107" i="14" s="1"/>
  <c r="H108" i="14" s="1"/>
  <c r="H109" i="14" s="1"/>
  <c r="H110" i="14" s="1"/>
  <c r="H111" i="14" s="1"/>
  <c r="H112" i="14" s="1"/>
  <c r="H113" i="14" s="1"/>
  <c r="H114" i="14" s="1"/>
  <c r="H115" i="14" s="1"/>
  <c r="H116" i="14" s="1"/>
  <c r="H117" i="14" s="1"/>
  <c r="H118" i="14" s="1"/>
  <c r="H119" i="14" s="1"/>
  <c r="H120" i="14" s="1"/>
  <c r="H121" i="14" s="1"/>
  <c r="H122" i="14" s="1"/>
  <c r="H123" i="14" s="1"/>
  <c r="H124" i="14" s="1"/>
  <c r="H125" i="14" s="1"/>
  <c r="H126" i="14" s="1"/>
  <c r="H127" i="14" s="1"/>
  <c r="H128" i="14" s="1"/>
  <c r="H129" i="14" s="1"/>
  <c r="H130" i="14" s="1"/>
  <c r="H131" i="14" s="1"/>
  <c r="H132" i="14" s="1"/>
  <c r="H133" i="14" s="1"/>
  <c r="H134" i="14" s="1"/>
  <c r="H135" i="14" s="1"/>
  <c r="H136" i="14" s="1"/>
  <c r="H137" i="14" s="1"/>
  <c r="H138" i="14" s="1"/>
  <c r="H139" i="14" s="1"/>
  <c r="H140" i="14" s="1"/>
  <c r="H141" i="14" s="1"/>
  <c r="H142" i="14" s="1"/>
  <c r="H143" i="14" s="1"/>
  <c r="H144" i="14" s="1"/>
  <c r="H145" i="14" s="1"/>
  <c r="H146" i="14" s="1"/>
  <c r="H147" i="14" s="1"/>
  <c r="H148" i="14" s="1"/>
  <c r="H149" i="14" s="1"/>
  <c r="H150" i="14" s="1"/>
  <c r="H151" i="14" s="1"/>
  <c r="H152" i="14" s="1"/>
  <c r="H153" i="14" s="1"/>
  <c r="H154" i="14" s="1"/>
  <c r="H155" i="14" s="1"/>
  <c r="H156" i="14" s="1"/>
  <c r="H157" i="14" s="1"/>
  <c r="H158" i="14" s="1"/>
  <c r="H159" i="14" s="1"/>
  <c r="H160" i="14" s="1"/>
  <c r="H161" i="14" s="1"/>
  <c r="H162" i="14" s="1"/>
  <c r="H163" i="14" s="1"/>
  <c r="H164" i="14" s="1"/>
  <c r="H165" i="14" s="1"/>
  <c r="H166" i="14" s="1"/>
  <c r="H167" i="14" s="1"/>
  <c r="H168" i="14" s="1"/>
  <c r="H169" i="14" s="1"/>
  <c r="H170" i="14" s="1"/>
  <c r="H171" i="14" s="1"/>
  <c r="H172" i="14" s="1"/>
  <c r="H173" i="14" s="1"/>
  <c r="H174" i="14" s="1"/>
  <c r="H175" i="14" s="1"/>
  <c r="H176" i="14" s="1"/>
  <c r="H177" i="14" s="1"/>
  <c r="H178" i="14" s="1"/>
  <c r="H179" i="14" s="1"/>
  <c r="H180" i="14" s="1"/>
  <c r="H181" i="14" s="1"/>
  <c r="H182" i="14" s="1"/>
  <c r="H183" i="14" s="1"/>
  <c r="H184" i="14" s="1"/>
  <c r="H185" i="14" s="1"/>
  <c r="E6" i="14"/>
  <c r="E9" i="14" s="1"/>
  <c r="H12" i="15" l="1"/>
  <c r="H13" i="15" s="1"/>
  <c r="C50" i="2"/>
  <c r="L8" i="1"/>
  <c r="H14" i="15" l="1"/>
  <c r="C36" i="13"/>
  <c r="J41" i="13" s="1"/>
  <c r="H47" i="13"/>
  <c r="J45" i="13" s="1"/>
  <c r="J10" i="13"/>
  <c r="P9" i="13" s="1"/>
  <c r="J19" i="13"/>
  <c r="Q21" i="13"/>
  <c r="Q29" i="13" s="1"/>
  <c r="J15" i="13"/>
  <c r="G41" i="13" s="1"/>
  <c r="AB3" i="13"/>
  <c r="AJ3" i="13" s="1"/>
  <c r="E16" i="13"/>
  <c r="E14" i="13"/>
  <c r="E8" i="13"/>
  <c r="F30" i="13" s="1"/>
  <c r="F33" i="13" s="1"/>
  <c r="E7" i="13"/>
  <c r="P10" i="13" s="1"/>
  <c r="V27" i="13"/>
  <c r="U25" i="13"/>
  <c r="T25" i="13" s="1"/>
  <c r="U24" i="13"/>
  <c r="U23" i="13"/>
  <c r="T23" i="13" s="1"/>
  <c r="U22" i="13"/>
  <c r="T22" i="13" s="1"/>
  <c r="U21" i="13"/>
  <c r="T21" i="13" s="1"/>
  <c r="E20" i="13"/>
  <c r="E18" i="13"/>
  <c r="E12" i="13"/>
  <c r="AF10" i="13"/>
  <c r="AB10" i="13"/>
  <c r="AJ10" i="13" s="1"/>
  <c r="AF6" i="13"/>
  <c r="AB6" i="13"/>
  <c r="AF4" i="13"/>
  <c r="AB4" i="13"/>
  <c r="AJ4" i="13" s="1"/>
  <c r="E41" i="6"/>
  <c r="D38" i="6"/>
  <c r="D37" i="6"/>
  <c r="D31" i="6"/>
  <c r="G58" i="4" s="1"/>
  <c r="D30" i="6"/>
  <c r="D27" i="6"/>
  <c r="D25" i="6"/>
  <c r="D20" i="6"/>
  <c r="D18" i="6"/>
  <c r="D9" i="6"/>
  <c r="D8" i="6"/>
  <c r="D7" i="6"/>
  <c r="D6" i="6"/>
  <c r="F21" i="12"/>
  <c r="F20" i="12"/>
  <c r="F39" i="12"/>
  <c r="F37" i="12"/>
  <c r="H24" i="12"/>
  <c r="L22" i="12"/>
  <c r="P13" i="12"/>
  <c r="P22" i="12" s="1"/>
  <c r="P34" i="12" s="1"/>
  <c r="L8" i="12"/>
  <c r="P5" i="12"/>
  <c r="P14" i="12" s="1"/>
  <c r="W4" i="12"/>
  <c r="AD4" i="12" s="1"/>
  <c r="AT4" i="12" s="1"/>
  <c r="AM4" i="12" s="1"/>
  <c r="L22" i="6"/>
  <c r="U26" i="2"/>
  <c r="U25" i="2"/>
  <c r="U24" i="2"/>
  <c r="U23" i="2"/>
  <c r="U22" i="2"/>
  <c r="P6" i="13" l="1"/>
  <c r="AF9" i="13"/>
  <c r="K45" i="13"/>
  <c r="I41" i="12"/>
  <c r="AB47" i="12"/>
  <c r="F26" i="13"/>
  <c r="L26" i="13" s="1"/>
  <c r="V28" i="13"/>
  <c r="AF8" i="13" s="1"/>
  <c r="AB8" i="13"/>
  <c r="AJ8" i="13" s="1"/>
  <c r="H15" i="15"/>
  <c r="AB9" i="13"/>
  <c r="AJ9" i="13" s="1"/>
  <c r="AB7" i="13"/>
  <c r="G47" i="13"/>
  <c r="H42" i="13"/>
  <c r="H46" i="13" s="1"/>
  <c r="H48" i="13" s="1"/>
  <c r="I42" i="13"/>
  <c r="I46" i="13" s="1"/>
  <c r="I48" i="13" s="1"/>
  <c r="Q25" i="13"/>
  <c r="Q39" i="13" s="1"/>
  <c r="AB5" i="13"/>
  <c r="AF5" i="13" s="1"/>
  <c r="AJ5" i="13" s="1"/>
  <c r="AF7" i="13"/>
  <c r="AJ6" i="13" s="1"/>
  <c r="AJ7" i="13" s="1"/>
  <c r="T24" i="13"/>
  <c r="L30" i="13"/>
  <c r="P7" i="13" s="1"/>
  <c r="AF3" i="13"/>
  <c r="P23" i="12"/>
  <c r="W14" i="12"/>
  <c r="W5" i="12"/>
  <c r="L17" i="12"/>
  <c r="L13" i="12"/>
  <c r="P6" i="12"/>
  <c r="P44" i="12"/>
  <c r="W44" i="12" s="1"/>
  <c r="W34" i="12"/>
  <c r="W22" i="12"/>
  <c r="W13" i="12"/>
  <c r="G28" i="4"/>
  <c r="P10" i="2"/>
  <c r="G41" i="4" s="1"/>
  <c r="P7" i="2"/>
  <c r="G34" i="4" s="1"/>
  <c r="G44" i="4"/>
  <c r="AF13" i="13" l="1"/>
  <c r="H16" i="15"/>
  <c r="AB13" i="13"/>
  <c r="K48" i="13"/>
  <c r="AF14" i="13"/>
  <c r="AF17" i="13" s="1"/>
  <c r="J30" i="13" s="1"/>
  <c r="AB14" i="13"/>
  <c r="AJ14" i="13"/>
  <c r="AJ13" i="13"/>
  <c r="P15" i="12"/>
  <c r="P7" i="12"/>
  <c r="W6" i="12"/>
  <c r="AD22" i="12"/>
  <c r="AT22" i="12" s="1"/>
  <c r="AM22" i="12" s="1"/>
  <c r="L14" i="12"/>
  <c r="AD13" i="12"/>
  <c r="AT13" i="12" s="1"/>
  <c r="AM13" i="12" s="1"/>
  <c r="AD34" i="12"/>
  <c r="AT34" i="12" s="1"/>
  <c r="AM34" i="12" s="1"/>
  <c r="AJ22" i="12"/>
  <c r="AJ4" i="12"/>
  <c r="AD14" i="12"/>
  <c r="AT14" i="12" s="1"/>
  <c r="AM14" i="12" s="1"/>
  <c r="AD44" i="12"/>
  <c r="AT44" i="12" s="1"/>
  <c r="AM44" i="12" s="1"/>
  <c r="AD5" i="12"/>
  <c r="AT5" i="12" s="1"/>
  <c r="AM5" i="12" s="1"/>
  <c r="P35" i="12"/>
  <c r="W23" i="12"/>
  <c r="G36" i="4"/>
  <c r="E27" i="5"/>
  <c r="J44" i="2"/>
  <c r="AJ44" i="12" l="1"/>
  <c r="H17" i="15"/>
  <c r="AB17" i="13"/>
  <c r="J26" i="13" s="1"/>
  <c r="AJ17" i="13"/>
  <c r="D41" i="13" s="1"/>
  <c r="U14" i="13"/>
  <c r="AF22" i="13"/>
  <c r="AF20" i="13"/>
  <c r="E30" i="13" s="1"/>
  <c r="Q30" i="13"/>
  <c r="P24" i="12"/>
  <c r="W15" i="12"/>
  <c r="AJ13" i="12"/>
  <c r="AD23" i="12"/>
  <c r="W35" i="12"/>
  <c r="AJ5" i="12"/>
  <c r="AJ34" i="12"/>
  <c r="AD6" i="12"/>
  <c r="AJ14" i="12"/>
  <c r="P16" i="12"/>
  <c r="P8" i="12"/>
  <c r="W7" i="12"/>
  <c r="AM5" i="6"/>
  <c r="AM6" i="6"/>
  <c r="AM7" i="6"/>
  <c r="AM8" i="6"/>
  <c r="AM9" i="6"/>
  <c r="AM10" i="6"/>
  <c r="AM11" i="6"/>
  <c r="AM12" i="6"/>
  <c r="AM13" i="6"/>
  <c r="AM14" i="6"/>
  <c r="AM15" i="6"/>
  <c r="AM16" i="6"/>
  <c r="AM17" i="6"/>
  <c r="AM18" i="6"/>
  <c r="AM19" i="6"/>
  <c r="AM20" i="6"/>
  <c r="AM21" i="6"/>
  <c r="AM22" i="6"/>
  <c r="AM23" i="6"/>
  <c r="AM24" i="6"/>
  <c r="AM25" i="6"/>
  <c r="AM26" i="6"/>
  <c r="AM27" i="6"/>
  <c r="AM28" i="6"/>
  <c r="AM29" i="6"/>
  <c r="AM30" i="6"/>
  <c r="AM31" i="6"/>
  <c r="AM32" i="6"/>
  <c r="AM33" i="6"/>
  <c r="AM34" i="6"/>
  <c r="AM35" i="6"/>
  <c r="AM36" i="6"/>
  <c r="AM37" i="6"/>
  <c r="AM38" i="6"/>
  <c r="AM39" i="6"/>
  <c r="AM40" i="6"/>
  <c r="AM4" i="6"/>
  <c r="AJ22" i="13" l="1"/>
  <c r="AB20" i="13"/>
  <c r="E26" i="13" s="1"/>
  <c r="E27" i="13" s="1"/>
  <c r="H18" i="15"/>
  <c r="AJ20" i="13"/>
  <c r="AB22" i="13"/>
  <c r="AF25" i="13"/>
  <c r="AF30" i="13" s="1"/>
  <c r="C30" i="13" s="1"/>
  <c r="I30" i="13" s="1"/>
  <c r="E36" i="13" s="1"/>
  <c r="Q22" i="13"/>
  <c r="AT23" i="12"/>
  <c r="AM23" i="12" s="1"/>
  <c r="AJ23" i="12"/>
  <c r="P17" i="12"/>
  <c r="W8" i="12"/>
  <c r="P9" i="12"/>
  <c r="W24" i="12"/>
  <c r="P36" i="12"/>
  <c r="W16" i="12"/>
  <c r="P25" i="12"/>
  <c r="AT6" i="12"/>
  <c r="AM6" i="12" s="1"/>
  <c r="AJ6" i="12"/>
  <c r="AD7" i="12"/>
  <c r="AD35" i="12"/>
  <c r="AD15" i="12"/>
  <c r="G29" i="4"/>
  <c r="E42" i="6"/>
  <c r="E24" i="12" s="1"/>
  <c r="D30" i="12"/>
  <c r="AJ25" i="13" l="1"/>
  <c r="AJ30" i="13" s="1"/>
  <c r="AB25" i="13"/>
  <c r="AB30" i="13" s="1"/>
  <c r="C26" i="13" s="1"/>
  <c r="F41" i="13" s="1"/>
  <c r="F49" i="13" s="1"/>
  <c r="H19" i="15"/>
  <c r="AF28" i="13"/>
  <c r="AF26" i="13"/>
  <c r="D30" i="13" s="1"/>
  <c r="Q33" i="13" s="1"/>
  <c r="Q38" i="13" s="1"/>
  <c r="Q40" i="13" s="1"/>
  <c r="K30" i="13" s="1"/>
  <c r="H36" i="13" s="1"/>
  <c r="P18" i="12"/>
  <c r="W9" i="12"/>
  <c r="P10" i="12"/>
  <c r="AT35" i="12"/>
  <c r="AM35" i="12" s="1"/>
  <c r="AJ35" i="12"/>
  <c r="W36" i="12"/>
  <c r="AT7" i="12"/>
  <c r="AM7" i="12" s="1"/>
  <c r="AJ7" i="12"/>
  <c r="AD16" i="12"/>
  <c r="AT15" i="12"/>
  <c r="AM15" i="12" s="1"/>
  <c r="AJ15" i="12"/>
  <c r="P37" i="12"/>
  <c r="W25" i="12"/>
  <c r="AD8" i="12"/>
  <c r="AD24" i="12"/>
  <c r="P28" i="12"/>
  <c r="W17" i="12"/>
  <c r="H24" i="6"/>
  <c r="F31" i="6"/>
  <c r="F30" i="6"/>
  <c r="W4" i="6"/>
  <c r="AD4" i="6" s="1"/>
  <c r="AT4" i="6" s="1"/>
  <c r="G31" i="4"/>
  <c r="AJ28" i="13" l="1"/>
  <c r="AJ26" i="13"/>
  <c r="AB28" i="13"/>
  <c r="I26" i="13"/>
  <c r="D36" i="13" s="1"/>
  <c r="AB26" i="13"/>
  <c r="D26" i="13" s="1"/>
  <c r="Q23" i="13" s="1"/>
  <c r="Q24" i="13" s="1"/>
  <c r="Q26" i="13" s="1"/>
  <c r="D34" i="6"/>
  <c r="D42" i="12" s="1"/>
  <c r="H20" i="15"/>
  <c r="J22" i="13"/>
  <c r="P19" i="12"/>
  <c r="W10" i="12"/>
  <c r="P11" i="12"/>
  <c r="AT24" i="12"/>
  <c r="AM24" i="12" s="1"/>
  <c r="AJ24" i="12"/>
  <c r="AD25" i="12"/>
  <c r="AT8" i="12"/>
  <c r="AM8" i="12" s="1"/>
  <c r="AJ8" i="12"/>
  <c r="W37" i="12"/>
  <c r="AT16" i="12"/>
  <c r="AM16" i="12" s="1"/>
  <c r="AJ16" i="12"/>
  <c r="AD9" i="12"/>
  <c r="P39" i="12"/>
  <c r="W28" i="12"/>
  <c r="AD17" i="12"/>
  <c r="AD36" i="12"/>
  <c r="W18" i="12"/>
  <c r="P29" i="12"/>
  <c r="AB43" i="6"/>
  <c r="F38" i="6"/>
  <c r="F37" i="6"/>
  <c r="P22" i="6"/>
  <c r="P13" i="6"/>
  <c r="W13" i="6" s="1"/>
  <c r="AD13" i="6" s="1"/>
  <c r="AT13" i="6" s="1"/>
  <c r="P5" i="6"/>
  <c r="W5" i="6" s="1"/>
  <c r="AD5" i="6" s="1"/>
  <c r="AT5" i="6" s="1"/>
  <c r="G56" i="4"/>
  <c r="G55" i="4"/>
  <c r="G48" i="4"/>
  <c r="D28" i="6"/>
  <c r="G54" i="4"/>
  <c r="N8" i="1"/>
  <c r="L7" i="12" s="1"/>
  <c r="L15" i="12" s="1"/>
  <c r="L20" i="12" s="1"/>
  <c r="L8" i="6"/>
  <c r="L17" i="6" s="1"/>
  <c r="BB8" i="12" s="1"/>
  <c r="G46" i="4"/>
  <c r="H5" i="7"/>
  <c r="H6" i="7"/>
  <c r="H7" i="7"/>
  <c r="H8" i="7"/>
  <c r="H9" i="7"/>
  <c r="H10" i="7"/>
  <c r="H11" i="7"/>
  <c r="H12" i="7"/>
  <c r="H13" i="7"/>
  <c r="H14" i="7"/>
  <c r="H15" i="7"/>
  <c r="H16" i="7"/>
  <c r="H17" i="7"/>
  <c r="H18" i="7"/>
  <c r="H19" i="7"/>
  <c r="H20" i="7"/>
  <c r="H21" i="7"/>
  <c r="H22" i="7"/>
  <c r="H23" i="7"/>
  <c r="H24" i="7"/>
  <c r="H25" i="7"/>
  <c r="H26" i="7"/>
  <c r="H27" i="7"/>
  <c r="H28" i="7"/>
  <c r="H29" i="7"/>
  <c r="H30" i="7"/>
  <c r="H31" i="7"/>
  <c r="H32" i="7"/>
  <c r="H33" i="7"/>
  <c r="H34" i="7"/>
  <c r="H35" i="7"/>
  <c r="H36" i="7"/>
  <c r="H37" i="7"/>
  <c r="H38" i="7"/>
  <c r="H39" i="7"/>
  <c r="H40" i="7"/>
  <c r="H41" i="7"/>
  <c r="H42" i="7"/>
  <c r="H43" i="7"/>
  <c r="H44" i="7"/>
  <c r="H45" i="7"/>
  <c r="H46" i="7"/>
  <c r="H47" i="7"/>
  <c r="H48" i="7"/>
  <c r="H49" i="7"/>
  <c r="H50" i="7"/>
  <c r="H51" i="7"/>
  <c r="H52" i="7"/>
  <c r="H53" i="7"/>
  <c r="H54" i="7"/>
  <c r="H55" i="7"/>
  <c r="H56" i="7"/>
  <c r="H57" i="7"/>
  <c r="H58" i="7"/>
  <c r="H59" i="7"/>
  <c r="H60" i="7"/>
  <c r="H61" i="7"/>
  <c r="H62" i="7"/>
  <c r="H63" i="7"/>
  <c r="H64" i="7"/>
  <c r="H65" i="7"/>
  <c r="H66" i="7"/>
  <c r="H67" i="7"/>
  <c r="H68" i="7"/>
  <c r="H69" i="7"/>
  <c r="H70" i="7"/>
  <c r="H71" i="7"/>
  <c r="H72" i="7"/>
  <c r="H73" i="7"/>
  <c r="H74" i="7"/>
  <c r="H75" i="7"/>
  <c r="H76" i="7"/>
  <c r="H77" i="7"/>
  <c r="H78" i="7"/>
  <c r="H79" i="7"/>
  <c r="H80" i="7"/>
  <c r="H81" i="7"/>
  <c r="H82" i="7"/>
  <c r="H83" i="7"/>
  <c r="H84" i="7"/>
  <c r="H85" i="7"/>
  <c r="H86" i="7"/>
  <c r="H87" i="7"/>
  <c r="H88" i="7"/>
  <c r="H89" i="7"/>
  <c r="H90" i="7"/>
  <c r="H91" i="7"/>
  <c r="H92" i="7"/>
  <c r="H93" i="7"/>
  <c r="H94" i="7"/>
  <c r="H95" i="7"/>
  <c r="H96" i="7"/>
  <c r="H97" i="7"/>
  <c r="H98" i="7"/>
  <c r="H99" i="7"/>
  <c r="H4" i="7"/>
  <c r="H101" i="7"/>
  <c r="H102" i="7"/>
  <c r="H103" i="7"/>
  <c r="H104" i="7"/>
  <c r="H200" i="7" s="1"/>
  <c r="H296" i="7" s="1"/>
  <c r="H392" i="7" s="1"/>
  <c r="H105" i="7"/>
  <c r="H106" i="7"/>
  <c r="H107" i="7"/>
  <c r="H108" i="7"/>
  <c r="H204" i="7" s="1"/>
  <c r="H300" i="7" s="1"/>
  <c r="H396" i="7" s="1"/>
  <c r="H492" i="7" s="1"/>
  <c r="H588" i="7" s="1"/>
  <c r="H684" i="7" s="1"/>
  <c r="H780" i="7" s="1"/>
  <c r="H109" i="7"/>
  <c r="H110" i="7"/>
  <c r="H111" i="7"/>
  <c r="H112" i="7"/>
  <c r="H208" i="7" s="1"/>
  <c r="H304" i="7" s="1"/>
  <c r="H400" i="7" s="1"/>
  <c r="H496" i="7" s="1"/>
  <c r="H592" i="7" s="1"/>
  <c r="H688" i="7" s="1"/>
  <c r="H784" i="7" s="1"/>
  <c r="H880" i="7" s="1"/>
  <c r="H113" i="7"/>
  <c r="H114" i="7"/>
  <c r="H115" i="7"/>
  <c r="H116" i="7"/>
  <c r="H212" i="7" s="1"/>
  <c r="H308" i="7" s="1"/>
  <c r="H404" i="7" s="1"/>
  <c r="H500" i="7" s="1"/>
  <c r="H596" i="7" s="1"/>
  <c r="H692" i="7" s="1"/>
  <c r="H788" i="7" s="1"/>
  <c r="H884" i="7" s="1"/>
  <c r="H117" i="7"/>
  <c r="H118" i="7"/>
  <c r="H119" i="7"/>
  <c r="H120" i="7"/>
  <c r="H216" i="7" s="1"/>
  <c r="H312" i="7" s="1"/>
  <c r="H408" i="7" s="1"/>
  <c r="H504" i="7" s="1"/>
  <c r="H600" i="7" s="1"/>
  <c r="H696" i="7" s="1"/>
  <c r="H792" i="7" s="1"/>
  <c r="H888" i="7" s="1"/>
  <c r="H121" i="7"/>
  <c r="H122" i="7"/>
  <c r="H123" i="7"/>
  <c r="H124" i="7"/>
  <c r="H220" i="7" s="1"/>
  <c r="H316" i="7" s="1"/>
  <c r="H412" i="7" s="1"/>
  <c r="H508" i="7" s="1"/>
  <c r="H604" i="7" s="1"/>
  <c r="H700" i="7" s="1"/>
  <c r="H796" i="7" s="1"/>
  <c r="H125" i="7"/>
  <c r="H126" i="7"/>
  <c r="H127" i="7"/>
  <c r="H128" i="7"/>
  <c r="H224" i="7" s="1"/>
  <c r="H320" i="7" s="1"/>
  <c r="H416" i="7" s="1"/>
  <c r="H512" i="7" s="1"/>
  <c r="H608" i="7" s="1"/>
  <c r="H704" i="7" s="1"/>
  <c r="H800" i="7" s="1"/>
  <c r="H896" i="7" s="1"/>
  <c r="H129" i="7"/>
  <c r="H130" i="7"/>
  <c r="H131" i="7"/>
  <c r="H132" i="7"/>
  <c r="H228" i="7" s="1"/>
  <c r="H324" i="7" s="1"/>
  <c r="H420" i="7" s="1"/>
  <c r="H516" i="7" s="1"/>
  <c r="H612" i="7" s="1"/>
  <c r="H708" i="7" s="1"/>
  <c r="H804" i="7" s="1"/>
  <c r="H900" i="7" s="1"/>
  <c r="H133" i="7"/>
  <c r="H134" i="7"/>
  <c r="H135" i="7"/>
  <c r="H136" i="7"/>
  <c r="H232" i="7" s="1"/>
  <c r="H328" i="7" s="1"/>
  <c r="H424" i="7" s="1"/>
  <c r="H520" i="7" s="1"/>
  <c r="H616" i="7" s="1"/>
  <c r="H712" i="7" s="1"/>
  <c r="H808" i="7" s="1"/>
  <c r="H904" i="7" s="1"/>
  <c r="H137" i="7"/>
  <c r="H138" i="7"/>
  <c r="H139" i="7"/>
  <c r="H140" i="7"/>
  <c r="H236" i="7" s="1"/>
  <c r="H332" i="7" s="1"/>
  <c r="H428" i="7" s="1"/>
  <c r="H524" i="7" s="1"/>
  <c r="H620" i="7" s="1"/>
  <c r="H716" i="7" s="1"/>
  <c r="H812" i="7" s="1"/>
  <c r="H141" i="7"/>
  <c r="H142" i="7"/>
  <c r="H143" i="7"/>
  <c r="H144" i="7"/>
  <c r="H240" i="7" s="1"/>
  <c r="H336" i="7" s="1"/>
  <c r="H432" i="7" s="1"/>
  <c r="H528" i="7" s="1"/>
  <c r="H624" i="7" s="1"/>
  <c r="H720" i="7" s="1"/>
  <c r="H816" i="7" s="1"/>
  <c r="H912" i="7" s="1"/>
  <c r="H145" i="7"/>
  <c r="H146" i="7"/>
  <c r="H147" i="7"/>
  <c r="H148" i="7"/>
  <c r="H244" i="7" s="1"/>
  <c r="H340" i="7" s="1"/>
  <c r="H436" i="7" s="1"/>
  <c r="H532" i="7" s="1"/>
  <c r="H628" i="7" s="1"/>
  <c r="H724" i="7" s="1"/>
  <c r="H820" i="7" s="1"/>
  <c r="H916" i="7" s="1"/>
  <c r="H149" i="7"/>
  <c r="H150" i="7"/>
  <c r="H151" i="7"/>
  <c r="H152" i="7"/>
  <c r="H248" i="7" s="1"/>
  <c r="H344" i="7" s="1"/>
  <c r="H440" i="7" s="1"/>
  <c r="H536" i="7" s="1"/>
  <c r="H632" i="7" s="1"/>
  <c r="H728" i="7" s="1"/>
  <c r="H824" i="7" s="1"/>
  <c r="H920" i="7" s="1"/>
  <c r="H153" i="7"/>
  <c r="H154" i="7"/>
  <c r="H155" i="7"/>
  <c r="H156" i="7"/>
  <c r="H252" i="7" s="1"/>
  <c r="H348" i="7" s="1"/>
  <c r="H444" i="7" s="1"/>
  <c r="H157" i="7"/>
  <c r="H158" i="7"/>
  <c r="H159" i="7"/>
  <c r="H160" i="7"/>
  <c r="H256" i="7" s="1"/>
  <c r="H352" i="7" s="1"/>
  <c r="H448" i="7" s="1"/>
  <c r="H544" i="7" s="1"/>
  <c r="H640" i="7" s="1"/>
  <c r="H736" i="7" s="1"/>
  <c r="H832" i="7" s="1"/>
  <c r="H928" i="7" s="1"/>
  <c r="H161" i="7"/>
  <c r="H162" i="7"/>
  <c r="H163" i="7"/>
  <c r="H164" i="7"/>
  <c r="H260" i="7" s="1"/>
  <c r="H356" i="7" s="1"/>
  <c r="H452" i="7" s="1"/>
  <c r="H548" i="7" s="1"/>
  <c r="H644" i="7" s="1"/>
  <c r="H740" i="7" s="1"/>
  <c r="H836" i="7" s="1"/>
  <c r="H932" i="7" s="1"/>
  <c r="H165" i="7"/>
  <c r="H166" i="7"/>
  <c r="H167" i="7"/>
  <c r="H168" i="7"/>
  <c r="H264" i="7" s="1"/>
  <c r="H360" i="7" s="1"/>
  <c r="H456" i="7" s="1"/>
  <c r="H552" i="7" s="1"/>
  <c r="H648" i="7" s="1"/>
  <c r="H744" i="7" s="1"/>
  <c r="H840" i="7" s="1"/>
  <c r="H936" i="7" s="1"/>
  <c r="H169" i="7"/>
  <c r="H170" i="7"/>
  <c r="H171" i="7"/>
  <c r="H172" i="7"/>
  <c r="H268" i="7" s="1"/>
  <c r="H364" i="7" s="1"/>
  <c r="H460" i="7" s="1"/>
  <c r="H556" i="7" s="1"/>
  <c r="H652" i="7" s="1"/>
  <c r="H748" i="7" s="1"/>
  <c r="H844" i="7" s="1"/>
  <c r="H940" i="7" s="1"/>
  <c r="H173" i="7"/>
  <c r="H174" i="7"/>
  <c r="H175" i="7"/>
  <c r="H176" i="7"/>
  <c r="H272" i="7" s="1"/>
  <c r="H368" i="7" s="1"/>
  <c r="H464" i="7" s="1"/>
  <c r="H560" i="7" s="1"/>
  <c r="H656" i="7" s="1"/>
  <c r="H752" i="7" s="1"/>
  <c r="H848" i="7" s="1"/>
  <c r="H944" i="7" s="1"/>
  <c r="H177" i="7"/>
  <c r="H178" i="7"/>
  <c r="H179" i="7"/>
  <c r="H180" i="7"/>
  <c r="H276" i="7" s="1"/>
  <c r="H372" i="7" s="1"/>
  <c r="H468" i="7" s="1"/>
  <c r="H564" i="7" s="1"/>
  <c r="H660" i="7" s="1"/>
  <c r="H756" i="7" s="1"/>
  <c r="H852" i="7" s="1"/>
  <c r="H948" i="7" s="1"/>
  <c r="H181" i="7"/>
  <c r="H182" i="7"/>
  <c r="H183" i="7"/>
  <c r="H184" i="7"/>
  <c r="H280" i="7" s="1"/>
  <c r="H376" i="7" s="1"/>
  <c r="H472" i="7" s="1"/>
  <c r="H568" i="7" s="1"/>
  <c r="H664" i="7" s="1"/>
  <c r="H760" i="7" s="1"/>
  <c r="H856" i="7" s="1"/>
  <c r="H952" i="7" s="1"/>
  <c r="H185" i="7"/>
  <c r="H186" i="7"/>
  <c r="H187" i="7"/>
  <c r="H188" i="7"/>
  <c r="H284" i="7" s="1"/>
  <c r="H380" i="7" s="1"/>
  <c r="H476" i="7" s="1"/>
  <c r="H572" i="7" s="1"/>
  <c r="H668" i="7" s="1"/>
  <c r="H764" i="7" s="1"/>
  <c r="H860" i="7" s="1"/>
  <c r="H956" i="7" s="1"/>
  <c r="H189" i="7"/>
  <c r="H190" i="7"/>
  <c r="H191" i="7"/>
  <c r="H192" i="7"/>
  <c r="H288" i="7" s="1"/>
  <c r="H384" i="7" s="1"/>
  <c r="H480" i="7" s="1"/>
  <c r="H193" i="7"/>
  <c r="H194" i="7"/>
  <c r="H195" i="7"/>
  <c r="H197" i="7"/>
  <c r="H293" i="7" s="1"/>
  <c r="H389" i="7" s="1"/>
  <c r="H485" i="7" s="1"/>
  <c r="H198" i="7"/>
  <c r="H199" i="7"/>
  <c r="H201" i="7"/>
  <c r="H297" i="7" s="1"/>
  <c r="H393" i="7" s="1"/>
  <c r="H489" i="7" s="1"/>
  <c r="H202" i="7"/>
  <c r="H203" i="7"/>
  <c r="H205" i="7"/>
  <c r="H301" i="7" s="1"/>
  <c r="H397" i="7" s="1"/>
  <c r="H493" i="7" s="1"/>
  <c r="H206" i="7"/>
  <c r="H207" i="7"/>
  <c r="H209" i="7"/>
  <c r="H305" i="7" s="1"/>
  <c r="H401" i="7" s="1"/>
  <c r="H497" i="7" s="1"/>
  <c r="H210" i="7"/>
  <c r="H211" i="7"/>
  <c r="H213" i="7"/>
  <c r="H309" i="7" s="1"/>
  <c r="H405" i="7" s="1"/>
  <c r="H501" i="7" s="1"/>
  <c r="H597" i="7" s="1"/>
  <c r="H693" i="7" s="1"/>
  <c r="H789" i="7" s="1"/>
  <c r="H885" i="7" s="1"/>
  <c r="H214" i="7"/>
  <c r="H215" i="7"/>
  <c r="H217" i="7"/>
  <c r="H313" i="7" s="1"/>
  <c r="H409" i="7" s="1"/>
  <c r="H505" i="7" s="1"/>
  <c r="H218" i="7"/>
  <c r="H219" i="7"/>
  <c r="H221" i="7"/>
  <c r="H317" i="7" s="1"/>
  <c r="H413" i="7" s="1"/>
  <c r="H509" i="7" s="1"/>
  <c r="H222" i="7"/>
  <c r="H223" i="7"/>
  <c r="H225" i="7"/>
  <c r="H321" i="7" s="1"/>
  <c r="H417" i="7" s="1"/>
  <c r="H513" i="7" s="1"/>
  <c r="H226" i="7"/>
  <c r="H227" i="7"/>
  <c r="H229" i="7"/>
  <c r="H325" i="7" s="1"/>
  <c r="H421" i="7" s="1"/>
  <c r="H517" i="7" s="1"/>
  <c r="H613" i="7" s="1"/>
  <c r="H709" i="7" s="1"/>
  <c r="H805" i="7" s="1"/>
  <c r="H901" i="7" s="1"/>
  <c r="H230" i="7"/>
  <c r="H231" i="7"/>
  <c r="H233" i="7"/>
  <c r="H329" i="7" s="1"/>
  <c r="H425" i="7" s="1"/>
  <c r="H521" i="7" s="1"/>
  <c r="H234" i="7"/>
  <c r="H235" i="7"/>
  <c r="H237" i="7"/>
  <c r="H333" i="7" s="1"/>
  <c r="H429" i="7" s="1"/>
  <c r="H525" i="7" s="1"/>
  <c r="H238" i="7"/>
  <c r="H239" i="7"/>
  <c r="H241" i="7"/>
  <c r="H337" i="7" s="1"/>
  <c r="H433" i="7" s="1"/>
  <c r="H242" i="7"/>
  <c r="H243" i="7"/>
  <c r="H245" i="7"/>
  <c r="H341" i="7" s="1"/>
  <c r="H437" i="7" s="1"/>
  <c r="H533" i="7" s="1"/>
  <c r="H629" i="7" s="1"/>
  <c r="H725" i="7" s="1"/>
  <c r="H821" i="7" s="1"/>
  <c r="H917" i="7" s="1"/>
  <c r="H246" i="7"/>
  <c r="H247" i="7"/>
  <c r="H249" i="7"/>
  <c r="H345" i="7" s="1"/>
  <c r="H441" i="7" s="1"/>
  <c r="H250" i="7"/>
  <c r="H251" i="7"/>
  <c r="H253" i="7"/>
  <c r="H349" i="7" s="1"/>
  <c r="H445" i="7" s="1"/>
  <c r="H254" i="7"/>
  <c r="H255" i="7"/>
  <c r="H257" i="7"/>
  <c r="H353" i="7" s="1"/>
  <c r="H449" i="7" s="1"/>
  <c r="H258" i="7"/>
  <c r="H259" i="7"/>
  <c r="H261" i="7"/>
  <c r="H357" i="7" s="1"/>
  <c r="H453" i="7" s="1"/>
  <c r="H549" i="7" s="1"/>
  <c r="H262" i="7"/>
  <c r="H263" i="7"/>
  <c r="H265" i="7"/>
  <c r="H361" i="7" s="1"/>
  <c r="H457" i="7" s="1"/>
  <c r="H266" i="7"/>
  <c r="H267" i="7"/>
  <c r="H269" i="7"/>
  <c r="H365" i="7" s="1"/>
  <c r="H461" i="7" s="1"/>
  <c r="H270" i="7"/>
  <c r="H271" i="7"/>
  <c r="H273" i="7"/>
  <c r="H369" i="7" s="1"/>
  <c r="H465" i="7" s="1"/>
  <c r="H274" i="7"/>
  <c r="H275" i="7"/>
  <c r="H277" i="7"/>
  <c r="H373" i="7" s="1"/>
  <c r="H469" i="7" s="1"/>
  <c r="H565" i="7" s="1"/>
  <c r="H278" i="7"/>
  <c r="H279" i="7"/>
  <c r="H281" i="7"/>
  <c r="H377" i="7" s="1"/>
  <c r="H473" i="7" s="1"/>
  <c r="H282" i="7"/>
  <c r="H283" i="7"/>
  <c r="H285" i="7"/>
  <c r="H381" i="7" s="1"/>
  <c r="H477" i="7" s="1"/>
  <c r="H286" i="7"/>
  <c r="H287" i="7"/>
  <c r="H289" i="7"/>
  <c r="H385" i="7" s="1"/>
  <c r="H481" i="7" s="1"/>
  <c r="H290" i="7"/>
  <c r="H291" i="7"/>
  <c r="H294" i="7"/>
  <c r="H390" i="7" s="1"/>
  <c r="H486" i="7" s="1"/>
  <c r="H582" i="7" s="1"/>
  <c r="H295" i="7"/>
  <c r="H298" i="7"/>
  <c r="H394" i="7" s="1"/>
  <c r="H490" i="7" s="1"/>
  <c r="H299" i="7"/>
  <c r="H302" i="7"/>
  <c r="H398" i="7" s="1"/>
  <c r="H494" i="7" s="1"/>
  <c r="H590" i="7" s="1"/>
  <c r="H686" i="7" s="1"/>
  <c r="H782" i="7" s="1"/>
  <c r="H878" i="7" s="1"/>
  <c r="H303" i="7"/>
  <c r="H306" i="7"/>
  <c r="H402" i="7" s="1"/>
  <c r="H498" i="7" s="1"/>
  <c r="H307" i="7"/>
  <c r="H310" i="7"/>
  <c r="H406" i="7" s="1"/>
  <c r="H502" i="7" s="1"/>
  <c r="H598" i="7" s="1"/>
  <c r="H694" i="7" s="1"/>
  <c r="H790" i="7" s="1"/>
  <c r="H886" i="7" s="1"/>
  <c r="H311" i="7"/>
  <c r="H314" i="7"/>
  <c r="H410" i="7" s="1"/>
  <c r="H506" i="7" s="1"/>
  <c r="H315" i="7"/>
  <c r="H318" i="7"/>
  <c r="H414" i="7" s="1"/>
  <c r="H510" i="7" s="1"/>
  <c r="H606" i="7" s="1"/>
  <c r="H702" i="7" s="1"/>
  <c r="H798" i="7" s="1"/>
  <c r="H894" i="7" s="1"/>
  <c r="H319" i="7"/>
  <c r="H322" i="7"/>
  <c r="H418" i="7" s="1"/>
  <c r="H323" i="7"/>
  <c r="H326" i="7"/>
  <c r="H422" i="7" s="1"/>
  <c r="H518" i="7" s="1"/>
  <c r="H614" i="7" s="1"/>
  <c r="H710" i="7" s="1"/>
  <c r="H806" i="7" s="1"/>
  <c r="H902" i="7" s="1"/>
  <c r="H327" i="7"/>
  <c r="H330" i="7"/>
  <c r="H426" i="7" s="1"/>
  <c r="H331" i="7"/>
  <c r="H334" i="7"/>
  <c r="H430" i="7" s="1"/>
  <c r="H526" i="7" s="1"/>
  <c r="H622" i="7" s="1"/>
  <c r="H718" i="7" s="1"/>
  <c r="H814" i="7" s="1"/>
  <c r="H910" i="7" s="1"/>
  <c r="H335" i="7"/>
  <c r="H338" i="7"/>
  <c r="H434" i="7" s="1"/>
  <c r="H339" i="7"/>
  <c r="H342" i="7"/>
  <c r="H438" i="7" s="1"/>
  <c r="H534" i="7" s="1"/>
  <c r="H630" i="7" s="1"/>
  <c r="H726" i="7" s="1"/>
  <c r="H822" i="7" s="1"/>
  <c r="H918" i="7" s="1"/>
  <c r="H343" i="7"/>
  <c r="H346" i="7"/>
  <c r="H442" i="7" s="1"/>
  <c r="H538" i="7" s="1"/>
  <c r="H634" i="7" s="1"/>
  <c r="H347" i="7"/>
  <c r="H350" i="7"/>
  <c r="H446" i="7" s="1"/>
  <c r="H542" i="7" s="1"/>
  <c r="H638" i="7" s="1"/>
  <c r="H351" i="7"/>
  <c r="H354" i="7"/>
  <c r="H450" i="7" s="1"/>
  <c r="H355" i="7"/>
  <c r="H358" i="7"/>
  <c r="H454" i="7" s="1"/>
  <c r="H550" i="7" s="1"/>
  <c r="H646" i="7" s="1"/>
  <c r="H742" i="7" s="1"/>
  <c r="H838" i="7" s="1"/>
  <c r="H934" i="7" s="1"/>
  <c r="H359" i="7"/>
  <c r="H362" i="7"/>
  <c r="H458" i="7" s="1"/>
  <c r="H363" i="7"/>
  <c r="H366" i="7"/>
  <c r="H462" i="7" s="1"/>
  <c r="H558" i="7" s="1"/>
  <c r="H654" i="7" s="1"/>
  <c r="H750" i="7" s="1"/>
  <c r="H846" i="7" s="1"/>
  <c r="H942" i="7" s="1"/>
  <c r="H367" i="7"/>
  <c r="H370" i="7"/>
  <c r="H466" i="7" s="1"/>
  <c r="H371" i="7"/>
  <c r="H374" i="7"/>
  <c r="H470" i="7" s="1"/>
  <c r="H566" i="7" s="1"/>
  <c r="H662" i="7" s="1"/>
  <c r="H758" i="7" s="1"/>
  <c r="H854" i="7" s="1"/>
  <c r="H950" i="7" s="1"/>
  <c r="H375" i="7"/>
  <c r="H378" i="7"/>
  <c r="H474" i="7" s="1"/>
  <c r="H379" i="7"/>
  <c r="H382" i="7"/>
  <c r="H478" i="7" s="1"/>
  <c r="H574" i="7" s="1"/>
  <c r="H670" i="7" s="1"/>
  <c r="H383" i="7"/>
  <c r="H386" i="7"/>
  <c r="H482" i="7" s="1"/>
  <c r="H387" i="7"/>
  <c r="H391" i="7"/>
  <c r="H487" i="7" s="1"/>
  <c r="H583" i="7" s="1"/>
  <c r="H679" i="7" s="1"/>
  <c r="H775" i="7" s="1"/>
  <c r="H871" i="7" s="1"/>
  <c r="H395" i="7"/>
  <c r="H491" i="7" s="1"/>
  <c r="H399" i="7"/>
  <c r="H495" i="7" s="1"/>
  <c r="H403" i="7"/>
  <c r="H499" i="7" s="1"/>
  <c r="H407" i="7"/>
  <c r="H503" i="7" s="1"/>
  <c r="H599" i="7" s="1"/>
  <c r="H695" i="7" s="1"/>
  <c r="H791" i="7" s="1"/>
  <c r="H887" i="7" s="1"/>
  <c r="H411" i="7"/>
  <c r="H507" i="7" s="1"/>
  <c r="H415" i="7"/>
  <c r="H511" i="7" s="1"/>
  <c r="H419" i="7"/>
  <c r="H515" i="7" s="1"/>
  <c r="H423" i="7"/>
  <c r="H519" i="7" s="1"/>
  <c r="H615" i="7" s="1"/>
  <c r="H711" i="7" s="1"/>
  <c r="H807" i="7" s="1"/>
  <c r="H903" i="7" s="1"/>
  <c r="H427" i="7"/>
  <c r="H523" i="7" s="1"/>
  <c r="H431" i="7"/>
  <c r="H527" i="7" s="1"/>
  <c r="H435" i="7"/>
  <c r="H531" i="7" s="1"/>
  <c r="H439" i="7"/>
  <c r="H535" i="7" s="1"/>
  <c r="H631" i="7" s="1"/>
  <c r="H727" i="7" s="1"/>
  <c r="H823" i="7" s="1"/>
  <c r="H919" i="7" s="1"/>
  <c r="H443" i="7"/>
  <c r="H539" i="7" s="1"/>
  <c r="H447" i="7"/>
  <c r="H543" i="7" s="1"/>
  <c r="H639" i="7" s="1"/>
  <c r="H735" i="7" s="1"/>
  <c r="H451" i="7"/>
  <c r="H455" i="7"/>
  <c r="H551" i="7" s="1"/>
  <c r="H647" i="7" s="1"/>
  <c r="H743" i="7" s="1"/>
  <c r="H839" i="7" s="1"/>
  <c r="H935" i="7" s="1"/>
  <c r="H459" i="7"/>
  <c r="H463" i="7"/>
  <c r="H559" i="7" s="1"/>
  <c r="H655" i="7" s="1"/>
  <c r="H751" i="7" s="1"/>
  <c r="H467" i="7"/>
  <c r="H471" i="7"/>
  <c r="H567" i="7" s="1"/>
  <c r="H663" i="7" s="1"/>
  <c r="H759" i="7" s="1"/>
  <c r="H855" i="7" s="1"/>
  <c r="H951" i="7" s="1"/>
  <c r="H475" i="7"/>
  <c r="H479" i="7"/>
  <c r="H575" i="7" s="1"/>
  <c r="H671" i="7" s="1"/>
  <c r="H767" i="7" s="1"/>
  <c r="H483" i="7"/>
  <c r="H488" i="7"/>
  <c r="H584" i="7" s="1"/>
  <c r="H680" i="7" s="1"/>
  <c r="H776" i="7" s="1"/>
  <c r="H872" i="7" s="1"/>
  <c r="H514" i="7"/>
  <c r="H610" i="7" s="1"/>
  <c r="H522" i="7"/>
  <c r="H618" i="7" s="1"/>
  <c r="H529" i="7"/>
  <c r="H625" i="7" s="1"/>
  <c r="H721" i="7" s="1"/>
  <c r="H817" i="7" s="1"/>
  <c r="H913" i="7" s="1"/>
  <c r="H530" i="7"/>
  <c r="H537" i="7"/>
  <c r="H540" i="7"/>
  <c r="H636" i="7" s="1"/>
  <c r="H732" i="7" s="1"/>
  <c r="H828" i="7" s="1"/>
  <c r="H541" i="7"/>
  <c r="H545" i="7"/>
  <c r="H546" i="7"/>
  <c r="H547" i="7"/>
  <c r="H553" i="7"/>
  <c r="H554" i="7"/>
  <c r="H555" i="7"/>
  <c r="H557" i="7"/>
  <c r="H561" i="7"/>
  <c r="H562" i="7"/>
  <c r="H563" i="7"/>
  <c r="H569" i="7"/>
  <c r="H570" i="7"/>
  <c r="H571" i="7"/>
  <c r="H573" i="7"/>
  <c r="H576" i="7"/>
  <c r="H672" i="7" s="1"/>
  <c r="H768" i="7" s="1"/>
  <c r="H864" i="7" s="1"/>
  <c r="H960" i="7" s="1"/>
  <c r="H577" i="7"/>
  <c r="H578" i="7"/>
  <c r="H579" i="7"/>
  <c r="H581" i="7"/>
  <c r="H677" i="7" s="1"/>
  <c r="H773" i="7" s="1"/>
  <c r="H869" i="7" s="1"/>
  <c r="H585" i="7"/>
  <c r="H681" i="7" s="1"/>
  <c r="H777" i="7" s="1"/>
  <c r="H873" i="7" s="1"/>
  <c r="H586" i="7"/>
  <c r="H587" i="7"/>
  <c r="H589" i="7"/>
  <c r="H685" i="7" s="1"/>
  <c r="H781" i="7" s="1"/>
  <c r="H877" i="7" s="1"/>
  <c r="H591" i="7"/>
  <c r="H593" i="7"/>
  <c r="H689" i="7" s="1"/>
  <c r="H785" i="7" s="1"/>
  <c r="H881" i="7" s="1"/>
  <c r="H594" i="7"/>
  <c r="H595" i="7"/>
  <c r="H601" i="7"/>
  <c r="H697" i="7" s="1"/>
  <c r="H793" i="7" s="1"/>
  <c r="H889" i="7" s="1"/>
  <c r="H602" i="7"/>
  <c r="H603" i="7"/>
  <c r="H605" i="7"/>
  <c r="H701" i="7" s="1"/>
  <c r="H797" i="7" s="1"/>
  <c r="H893" i="7" s="1"/>
  <c r="H607" i="7"/>
  <c r="H609" i="7"/>
  <c r="H705" i="7" s="1"/>
  <c r="H801" i="7" s="1"/>
  <c r="H897" i="7" s="1"/>
  <c r="H611" i="7"/>
  <c r="H617" i="7"/>
  <c r="H713" i="7" s="1"/>
  <c r="H809" i="7" s="1"/>
  <c r="H905" i="7" s="1"/>
  <c r="H619" i="7"/>
  <c r="H621" i="7"/>
  <c r="H717" i="7" s="1"/>
  <c r="H813" i="7" s="1"/>
  <c r="H909" i="7" s="1"/>
  <c r="H623" i="7"/>
  <c r="H626" i="7"/>
  <c r="H627" i="7"/>
  <c r="H633" i="7"/>
  <c r="H729" i="7" s="1"/>
  <c r="H825" i="7" s="1"/>
  <c r="H921" i="7" s="1"/>
  <c r="H635" i="7"/>
  <c r="H637" i="7"/>
  <c r="H733" i="7" s="1"/>
  <c r="H829" i="7" s="1"/>
  <c r="H925" i="7" s="1"/>
  <c r="H641" i="7"/>
  <c r="H737" i="7" s="1"/>
  <c r="H833" i="7" s="1"/>
  <c r="H929" i="7" s="1"/>
  <c r="H642" i="7"/>
  <c r="H643" i="7"/>
  <c r="H645" i="7"/>
  <c r="H741" i="7" s="1"/>
  <c r="H837" i="7" s="1"/>
  <c r="H933" i="7" s="1"/>
  <c r="H649" i="7"/>
  <c r="H745" i="7" s="1"/>
  <c r="H841" i="7" s="1"/>
  <c r="H937" i="7" s="1"/>
  <c r="H650" i="7"/>
  <c r="H651" i="7"/>
  <c r="H653" i="7"/>
  <c r="H749" i="7" s="1"/>
  <c r="H845" i="7" s="1"/>
  <c r="H941" i="7" s="1"/>
  <c r="H657" i="7"/>
  <c r="H753" i="7" s="1"/>
  <c r="H849" i="7" s="1"/>
  <c r="H945" i="7" s="1"/>
  <c r="H658" i="7"/>
  <c r="H659" i="7"/>
  <c r="H661" i="7"/>
  <c r="H757" i="7" s="1"/>
  <c r="H853" i="7" s="1"/>
  <c r="H949" i="7" s="1"/>
  <c r="H665" i="7"/>
  <c r="H761" i="7" s="1"/>
  <c r="H857" i="7" s="1"/>
  <c r="H953" i="7" s="1"/>
  <c r="H666" i="7"/>
  <c r="H667" i="7"/>
  <c r="H669" i="7"/>
  <c r="H765" i="7" s="1"/>
  <c r="H861" i="7" s="1"/>
  <c r="H957" i="7" s="1"/>
  <c r="H673" i="7"/>
  <c r="H769" i="7" s="1"/>
  <c r="H865" i="7" s="1"/>
  <c r="H961" i="7" s="1"/>
  <c r="H674" i="7"/>
  <c r="H675" i="7"/>
  <c r="H678" i="7"/>
  <c r="H774" i="7" s="1"/>
  <c r="H870" i="7" s="1"/>
  <c r="H682" i="7"/>
  <c r="H778" i="7" s="1"/>
  <c r="H874" i="7" s="1"/>
  <c r="H683" i="7"/>
  <c r="H687" i="7"/>
  <c r="H690" i="7"/>
  <c r="H786" i="7" s="1"/>
  <c r="H882" i="7" s="1"/>
  <c r="H691" i="7"/>
  <c r="H698" i="7"/>
  <c r="H794" i="7" s="1"/>
  <c r="H890" i="7" s="1"/>
  <c r="H699" i="7"/>
  <c r="H703" i="7"/>
  <c r="H706" i="7"/>
  <c r="H802" i="7" s="1"/>
  <c r="H898" i="7" s="1"/>
  <c r="H707" i="7"/>
  <c r="H714" i="7"/>
  <c r="H810" i="7" s="1"/>
  <c r="H906" i="7" s="1"/>
  <c r="H715" i="7"/>
  <c r="H719" i="7"/>
  <c r="H722" i="7"/>
  <c r="H818" i="7" s="1"/>
  <c r="H914" i="7" s="1"/>
  <c r="H723" i="7"/>
  <c r="H730" i="7"/>
  <c r="H826" i="7" s="1"/>
  <c r="H922" i="7" s="1"/>
  <c r="H731" i="7"/>
  <c r="H734" i="7"/>
  <c r="H830" i="7" s="1"/>
  <c r="H926" i="7" s="1"/>
  <c r="H738" i="7"/>
  <c r="H834" i="7" s="1"/>
  <c r="H930" i="7" s="1"/>
  <c r="H739" i="7"/>
  <c r="H746" i="7"/>
  <c r="H842" i="7" s="1"/>
  <c r="H938" i="7" s="1"/>
  <c r="H747" i="7"/>
  <c r="H754" i="7"/>
  <c r="H850" i="7" s="1"/>
  <c r="H755" i="7"/>
  <c r="H762" i="7"/>
  <c r="H858" i="7" s="1"/>
  <c r="H763" i="7"/>
  <c r="H766" i="7"/>
  <c r="H862" i="7" s="1"/>
  <c r="H770" i="7"/>
  <c r="H866" i="7" s="1"/>
  <c r="H771" i="7"/>
  <c r="H779" i="7"/>
  <c r="H875" i="7" s="1"/>
  <c r="H783" i="7"/>
  <c r="H879" i="7" s="1"/>
  <c r="H787" i="7"/>
  <c r="H883" i="7" s="1"/>
  <c r="H795" i="7"/>
  <c r="H891" i="7" s="1"/>
  <c r="H799" i="7"/>
  <c r="H895" i="7" s="1"/>
  <c r="H803" i="7"/>
  <c r="H899" i="7" s="1"/>
  <c r="H811" i="7"/>
  <c r="H907" i="7" s="1"/>
  <c r="H815" i="7"/>
  <c r="H911" i="7" s="1"/>
  <c r="H819" i="7"/>
  <c r="H915" i="7" s="1"/>
  <c r="H827" i="7"/>
  <c r="H923" i="7" s="1"/>
  <c r="H831" i="7"/>
  <c r="H927" i="7" s="1"/>
  <c r="H835" i="7"/>
  <c r="H931" i="7" s="1"/>
  <c r="H843" i="7"/>
  <c r="H939" i="7" s="1"/>
  <c r="H847" i="7"/>
  <c r="H943" i="7" s="1"/>
  <c r="H851" i="7"/>
  <c r="H947" i="7" s="1"/>
  <c r="H859" i="7"/>
  <c r="H955" i="7" s="1"/>
  <c r="H863" i="7"/>
  <c r="H959" i="7" s="1"/>
  <c r="H867" i="7"/>
  <c r="H963" i="7" s="1"/>
  <c r="H876" i="7"/>
  <c r="H892" i="7"/>
  <c r="H908" i="7"/>
  <c r="H924" i="7"/>
  <c r="H946" i="7"/>
  <c r="H954" i="7"/>
  <c r="H958" i="7"/>
  <c r="H962" i="7"/>
  <c r="H100" i="7"/>
  <c r="H196" i="7" s="1"/>
  <c r="H292" i="7" s="1"/>
  <c r="H388" i="7" s="1"/>
  <c r="H484" i="7" s="1"/>
  <c r="H580" i="7" s="1"/>
  <c r="H676" i="7" s="1"/>
  <c r="H772" i="7" s="1"/>
  <c r="H868" i="7" s="1"/>
  <c r="E5" i="7"/>
  <c r="E6" i="7"/>
  <c r="E7" i="7"/>
  <c r="E8" i="7"/>
  <c r="E9" i="7"/>
  <c r="E10" i="7"/>
  <c r="E11" i="7"/>
  <c r="E12" i="7"/>
  <c r="E13" i="7"/>
  <c r="E14" i="7"/>
  <c r="E15" i="7"/>
  <c r="E111" i="7" s="1"/>
  <c r="E207" i="7" s="1"/>
  <c r="E303" i="7" s="1"/>
  <c r="E399" i="7" s="1"/>
  <c r="E495" i="7" s="1"/>
  <c r="E591" i="7" s="1"/>
  <c r="E687" i="7" s="1"/>
  <c r="E783" i="7" s="1"/>
  <c r="E879" i="7" s="1"/>
  <c r="E16" i="7"/>
  <c r="E112" i="7" s="1"/>
  <c r="E208" i="7" s="1"/>
  <c r="E304" i="7" s="1"/>
  <c r="E400" i="7" s="1"/>
  <c r="E496" i="7" s="1"/>
  <c r="E592" i="7" s="1"/>
  <c r="E688" i="7" s="1"/>
  <c r="E784" i="7" s="1"/>
  <c r="E880" i="7" s="1"/>
  <c r="E17" i="7"/>
  <c r="E18" i="7"/>
  <c r="E19" i="7"/>
  <c r="E115" i="7" s="1"/>
  <c r="E211" i="7" s="1"/>
  <c r="E307" i="7" s="1"/>
  <c r="E403" i="7" s="1"/>
  <c r="E499" i="7" s="1"/>
  <c r="E595" i="7" s="1"/>
  <c r="E691" i="7" s="1"/>
  <c r="E787" i="7" s="1"/>
  <c r="E883" i="7" s="1"/>
  <c r="E20" i="7"/>
  <c r="E116" i="7" s="1"/>
  <c r="E212" i="7" s="1"/>
  <c r="E308" i="7" s="1"/>
  <c r="E404" i="7" s="1"/>
  <c r="E500" i="7" s="1"/>
  <c r="E596" i="7" s="1"/>
  <c r="E692" i="7" s="1"/>
  <c r="E788" i="7" s="1"/>
  <c r="E884" i="7" s="1"/>
  <c r="E21" i="7"/>
  <c r="E22" i="7"/>
  <c r="E23" i="7"/>
  <c r="E24" i="7"/>
  <c r="E120" i="7" s="1"/>
  <c r="E216" i="7" s="1"/>
  <c r="E312" i="7" s="1"/>
  <c r="E408" i="7" s="1"/>
  <c r="E504" i="7" s="1"/>
  <c r="E600" i="7" s="1"/>
  <c r="E696" i="7" s="1"/>
  <c r="E792" i="7" s="1"/>
  <c r="E888" i="7" s="1"/>
  <c r="E25" i="7"/>
  <c r="E26" i="7"/>
  <c r="E27" i="7"/>
  <c r="E28" i="7"/>
  <c r="E124" i="7" s="1"/>
  <c r="E220" i="7" s="1"/>
  <c r="E316" i="7" s="1"/>
  <c r="E412" i="7" s="1"/>
  <c r="E508" i="7" s="1"/>
  <c r="E604" i="7" s="1"/>
  <c r="E700" i="7" s="1"/>
  <c r="E796" i="7" s="1"/>
  <c r="E892" i="7" s="1"/>
  <c r="E29" i="7"/>
  <c r="E30" i="7"/>
  <c r="E31" i="7"/>
  <c r="E127" i="7" s="1"/>
  <c r="E223" i="7" s="1"/>
  <c r="E319" i="7" s="1"/>
  <c r="E415" i="7" s="1"/>
  <c r="E511" i="7" s="1"/>
  <c r="E607" i="7" s="1"/>
  <c r="E703" i="7" s="1"/>
  <c r="E799" i="7" s="1"/>
  <c r="E895" i="7" s="1"/>
  <c r="E32" i="7"/>
  <c r="E128" i="7" s="1"/>
  <c r="E224" i="7" s="1"/>
  <c r="E320" i="7" s="1"/>
  <c r="E416" i="7" s="1"/>
  <c r="E512" i="7" s="1"/>
  <c r="E608" i="7" s="1"/>
  <c r="E704" i="7" s="1"/>
  <c r="E800" i="7" s="1"/>
  <c r="E896" i="7" s="1"/>
  <c r="E33" i="7"/>
  <c r="E34" i="7"/>
  <c r="E35" i="7"/>
  <c r="E131" i="7" s="1"/>
  <c r="E227" i="7" s="1"/>
  <c r="E323" i="7" s="1"/>
  <c r="E419" i="7" s="1"/>
  <c r="E515" i="7" s="1"/>
  <c r="E611" i="7" s="1"/>
  <c r="E707" i="7" s="1"/>
  <c r="E803" i="7" s="1"/>
  <c r="E899" i="7" s="1"/>
  <c r="E36" i="7"/>
  <c r="E132" i="7" s="1"/>
  <c r="E228" i="7" s="1"/>
  <c r="E324" i="7" s="1"/>
  <c r="E420" i="7" s="1"/>
  <c r="E516" i="7" s="1"/>
  <c r="E612" i="7" s="1"/>
  <c r="E708" i="7" s="1"/>
  <c r="E804" i="7" s="1"/>
  <c r="E900" i="7" s="1"/>
  <c r="E37" i="7"/>
  <c r="E38" i="7"/>
  <c r="E39" i="7"/>
  <c r="E40" i="7"/>
  <c r="E136" i="7" s="1"/>
  <c r="E232" i="7" s="1"/>
  <c r="E328" i="7" s="1"/>
  <c r="E424" i="7" s="1"/>
  <c r="E520" i="7" s="1"/>
  <c r="E616" i="7" s="1"/>
  <c r="E712" i="7" s="1"/>
  <c r="E808" i="7" s="1"/>
  <c r="E904" i="7" s="1"/>
  <c r="E41" i="7"/>
  <c r="E42" i="7"/>
  <c r="E43" i="7"/>
  <c r="E139" i="7" s="1"/>
  <c r="E235" i="7" s="1"/>
  <c r="E331" i="7" s="1"/>
  <c r="E427" i="7" s="1"/>
  <c r="E523" i="7" s="1"/>
  <c r="E619" i="7" s="1"/>
  <c r="E715" i="7" s="1"/>
  <c r="E811" i="7" s="1"/>
  <c r="E907" i="7" s="1"/>
  <c r="E44" i="7"/>
  <c r="E140" i="7" s="1"/>
  <c r="E236" i="7" s="1"/>
  <c r="E332" i="7" s="1"/>
  <c r="E428" i="7" s="1"/>
  <c r="E524" i="7" s="1"/>
  <c r="E620" i="7" s="1"/>
  <c r="E716" i="7" s="1"/>
  <c r="E812" i="7" s="1"/>
  <c r="E908" i="7" s="1"/>
  <c r="E45" i="7"/>
  <c r="E46" i="7"/>
  <c r="E47" i="7"/>
  <c r="E143" i="7" s="1"/>
  <c r="E239" i="7" s="1"/>
  <c r="E335" i="7" s="1"/>
  <c r="E431" i="7" s="1"/>
  <c r="E527" i="7" s="1"/>
  <c r="E623" i="7" s="1"/>
  <c r="E719" i="7" s="1"/>
  <c r="E815" i="7" s="1"/>
  <c r="E911" i="7" s="1"/>
  <c r="E48" i="7"/>
  <c r="E144" i="7" s="1"/>
  <c r="E240" i="7" s="1"/>
  <c r="E336" i="7" s="1"/>
  <c r="E432" i="7" s="1"/>
  <c r="E528" i="7" s="1"/>
  <c r="E624" i="7" s="1"/>
  <c r="E720" i="7" s="1"/>
  <c r="E816" i="7" s="1"/>
  <c r="E912" i="7" s="1"/>
  <c r="E49" i="7"/>
  <c r="E50" i="7"/>
  <c r="E51" i="7"/>
  <c r="E52" i="7"/>
  <c r="E148" i="7" s="1"/>
  <c r="E244" i="7" s="1"/>
  <c r="E340" i="7" s="1"/>
  <c r="E436" i="7" s="1"/>
  <c r="E532" i="7" s="1"/>
  <c r="E628" i="7" s="1"/>
  <c r="E724" i="7" s="1"/>
  <c r="E820" i="7" s="1"/>
  <c r="E916" i="7" s="1"/>
  <c r="E53" i="7"/>
  <c r="E54" i="7"/>
  <c r="E55" i="7"/>
  <c r="E56" i="7"/>
  <c r="E152" i="7" s="1"/>
  <c r="E248" i="7" s="1"/>
  <c r="E344" i="7" s="1"/>
  <c r="E440" i="7" s="1"/>
  <c r="E536" i="7" s="1"/>
  <c r="E632" i="7" s="1"/>
  <c r="E728" i="7" s="1"/>
  <c r="E824" i="7" s="1"/>
  <c r="E920" i="7" s="1"/>
  <c r="E57" i="7"/>
  <c r="E58" i="7"/>
  <c r="E59" i="7"/>
  <c r="E155" i="7" s="1"/>
  <c r="E251" i="7" s="1"/>
  <c r="E347" i="7" s="1"/>
  <c r="E443" i="7" s="1"/>
  <c r="E539" i="7" s="1"/>
  <c r="E635" i="7" s="1"/>
  <c r="E731" i="7" s="1"/>
  <c r="E827" i="7" s="1"/>
  <c r="E923" i="7" s="1"/>
  <c r="E60" i="7"/>
  <c r="E156" i="7" s="1"/>
  <c r="E252" i="7" s="1"/>
  <c r="E348" i="7" s="1"/>
  <c r="E444" i="7" s="1"/>
  <c r="E540" i="7" s="1"/>
  <c r="E636" i="7" s="1"/>
  <c r="E732" i="7" s="1"/>
  <c r="E828" i="7" s="1"/>
  <c r="E924" i="7" s="1"/>
  <c r="E61" i="7"/>
  <c r="E62" i="7"/>
  <c r="E63" i="7"/>
  <c r="E159" i="7" s="1"/>
  <c r="E255" i="7" s="1"/>
  <c r="E351" i="7" s="1"/>
  <c r="E447" i="7" s="1"/>
  <c r="E543" i="7" s="1"/>
  <c r="E639" i="7" s="1"/>
  <c r="E735" i="7" s="1"/>
  <c r="E831" i="7" s="1"/>
  <c r="E927" i="7" s="1"/>
  <c r="E64" i="7"/>
  <c r="E160" i="7" s="1"/>
  <c r="E256" i="7" s="1"/>
  <c r="E352" i="7" s="1"/>
  <c r="E448" i="7" s="1"/>
  <c r="E544" i="7" s="1"/>
  <c r="E640" i="7" s="1"/>
  <c r="E736" i="7" s="1"/>
  <c r="E832" i="7" s="1"/>
  <c r="E928" i="7" s="1"/>
  <c r="E65" i="7"/>
  <c r="E66" i="7"/>
  <c r="E67" i="7"/>
  <c r="E163" i="7" s="1"/>
  <c r="E259" i="7" s="1"/>
  <c r="E355" i="7" s="1"/>
  <c r="E451" i="7" s="1"/>
  <c r="E547" i="7" s="1"/>
  <c r="E643" i="7" s="1"/>
  <c r="E739" i="7" s="1"/>
  <c r="E835" i="7" s="1"/>
  <c r="E931" i="7" s="1"/>
  <c r="E68" i="7"/>
  <c r="E164" i="7" s="1"/>
  <c r="E260" i="7" s="1"/>
  <c r="E356" i="7" s="1"/>
  <c r="E452" i="7" s="1"/>
  <c r="E548" i="7" s="1"/>
  <c r="E644" i="7" s="1"/>
  <c r="E740" i="7" s="1"/>
  <c r="E836" i="7" s="1"/>
  <c r="E932" i="7" s="1"/>
  <c r="E69" i="7"/>
  <c r="E70" i="7"/>
  <c r="E71" i="7"/>
  <c r="E167" i="7" s="1"/>
  <c r="E263" i="7" s="1"/>
  <c r="E359" i="7" s="1"/>
  <c r="E455" i="7" s="1"/>
  <c r="E551" i="7" s="1"/>
  <c r="E647" i="7" s="1"/>
  <c r="E743" i="7" s="1"/>
  <c r="E839" i="7" s="1"/>
  <c r="E935" i="7" s="1"/>
  <c r="E72" i="7"/>
  <c r="E168" i="7" s="1"/>
  <c r="E264" i="7" s="1"/>
  <c r="E360" i="7" s="1"/>
  <c r="E456" i="7" s="1"/>
  <c r="E552" i="7" s="1"/>
  <c r="E648" i="7" s="1"/>
  <c r="E744" i="7" s="1"/>
  <c r="E840" i="7" s="1"/>
  <c r="E936" i="7" s="1"/>
  <c r="E73" i="7"/>
  <c r="E74" i="7"/>
  <c r="E75" i="7"/>
  <c r="E171" i="7" s="1"/>
  <c r="E267" i="7" s="1"/>
  <c r="E363" i="7" s="1"/>
  <c r="E459" i="7" s="1"/>
  <c r="E555" i="7" s="1"/>
  <c r="E651" i="7" s="1"/>
  <c r="E747" i="7" s="1"/>
  <c r="E843" i="7" s="1"/>
  <c r="E939" i="7" s="1"/>
  <c r="E76" i="7"/>
  <c r="E172" i="7" s="1"/>
  <c r="E268" i="7" s="1"/>
  <c r="E364" i="7" s="1"/>
  <c r="E460" i="7" s="1"/>
  <c r="E556" i="7" s="1"/>
  <c r="E652" i="7" s="1"/>
  <c r="E748" i="7" s="1"/>
  <c r="E844" i="7" s="1"/>
  <c r="E940" i="7" s="1"/>
  <c r="E77" i="7"/>
  <c r="E78" i="7"/>
  <c r="E79" i="7"/>
  <c r="E80" i="7"/>
  <c r="E176" i="7" s="1"/>
  <c r="E272" i="7" s="1"/>
  <c r="E368" i="7" s="1"/>
  <c r="E464" i="7" s="1"/>
  <c r="E560" i="7" s="1"/>
  <c r="E656" i="7" s="1"/>
  <c r="E752" i="7" s="1"/>
  <c r="E848" i="7" s="1"/>
  <c r="E944" i="7" s="1"/>
  <c r="E81" i="7"/>
  <c r="E82" i="7"/>
  <c r="E83" i="7"/>
  <c r="E84" i="7"/>
  <c r="E180" i="7" s="1"/>
  <c r="E276" i="7" s="1"/>
  <c r="E372" i="7" s="1"/>
  <c r="E468" i="7" s="1"/>
  <c r="E564" i="7" s="1"/>
  <c r="E660" i="7" s="1"/>
  <c r="E756" i="7" s="1"/>
  <c r="E852" i="7" s="1"/>
  <c r="E948" i="7" s="1"/>
  <c r="E85" i="7"/>
  <c r="E86" i="7"/>
  <c r="E87" i="7"/>
  <c r="E183" i="7" s="1"/>
  <c r="E279" i="7" s="1"/>
  <c r="E375" i="7" s="1"/>
  <c r="E471" i="7" s="1"/>
  <c r="E567" i="7" s="1"/>
  <c r="E663" i="7" s="1"/>
  <c r="E759" i="7" s="1"/>
  <c r="E855" i="7" s="1"/>
  <c r="E951" i="7" s="1"/>
  <c r="E88" i="7"/>
  <c r="E184" i="7" s="1"/>
  <c r="E280" i="7" s="1"/>
  <c r="E376" i="7" s="1"/>
  <c r="E472" i="7" s="1"/>
  <c r="E568" i="7" s="1"/>
  <c r="E664" i="7" s="1"/>
  <c r="E760" i="7" s="1"/>
  <c r="E856" i="7" s="1"/>
  <c r="E952" i="7" s="1"/>
  <c r="E89" i="7"/>
  <c r="E90" i="7"/>
  <c r="E91" i="7"/>
  <c r="E187" i="7" s="1"/>
  <c r="E283" i="7" s="1"/>
  <c r="E379" i="7" s="1"/>
  <c r="E475" i="7" s="1"/>
  <c r="E571" i="7" s="1"/>
  <c r="E667" i="7" s="1"/>
  <c r="E763" i="7" s="1"/>
  <c r="E859" i="7" s="1"/>
  <c r="E955" i="7" s="1"/>
  <c r="E92" i="7"/>
  <c r="E188" i="7" s="1"/>
  <c r="E284" i="7" s="1"/>
  <c r="E380" i="7" s="1"/>
  <c r="E476" i="7" s="1"/>
  <c r="E572" i="7" s="1"/>
  <c r="E668" i="7" s="1"/>
  <c r="E764" i="7" s="1"/>
  <c r="E860" i="7" s="1"/>
  <c r="E956" i="7" s="1"/>
  <c r="E93" i="7"/>
  <c r="E94" i="7"/>
  <c r="E95" i="7"/>
  <c r="E96" i="7"/>
  <c r="E192" i="7" s="1"/>
  <c r="E288" i="7" s="1"/>
  <c r="E384" i="7" s="1"/>
  <c r="E480" i="7" s="1"/>
  <c r="E576" i="7" s="1"/>
  <c r="E672" i="7" s="1"/>
  <c r="E768" i="7" s="1"/>
  <c r="E864" i="7" s="1"/>
  <c r="E960" i="7" s="1"/>
  <c r="E97" i="7"/>
  <c r="E98" i="7"/>
  <c r="E99" i="7"/>
  <c r="E4" i="7"/>
  <c r="L5" i="7"/>
  <c r="L6" i="7"/>
  <c r="L7" i="7"/>
  <c r="L19" i="7" s="1"/>
  <c r="L31" i="7" s="1"/>
  <c r="L43" i="7" s="1"/>
  <c r="L8" i="7"/>
  <c r="L20" i="7" s="1"/>
  <c r="L32" i="7" s="1"/>
  <c r="L44" i="7" s="1"/>
  <c r="L9" i="7"/>
  <c r="L10" i="7"/>
  <c r="L11" i="7"/>
  <c r="L23" i="7" s="1"/>
  <c r="L35" i="7" s="1"/>
  <c r="L47" i="7" s="1"/>
  <c r="L12" i="7"/>
  <c r="L24" i="7" s="1"/>
  <c r="L36" i="7" s="1"/>
  <c r="L48" i="7" s="1"/>
  <c r="L13" i="7"/>
  <c r="L14" i="7"/>
  <c r="L15" i="7"/>
  <c r="L27" i="7" s="1"/>
  <c r="L4" i="7"/>
  <c r="L16" i="7" s="1"/>
  <c r="L28" i="7" s="1"/>
  <c r="L40" i="7" s="1"/>
  <c r="L17" i="7"/>
  <c r="L29" i="7" s="1"/>
  <c r="L41" i="7" s="1"/>
  <c r="L18" i="7"/>
  <c r="L30" i="7" s="1"/>
  <c r="L42" i="7" s="1"/>
  <c r="L21" i="7"/>
  <c r="L33" i="7" s="1"/>
  <c r="L45" i="7" s="1"/>
  <c r="L22" i="7"/>
  <c r="L34" i="7" s="1"/>
  <c r="L46" i="7" s="1"/>
  <c r="L25" i="7"/>
  <c r="L37" i="7" s="1"/>
  <c r="L49" i="7" s="1"/>
  <c r="L26" i="7"/>
  <c r="L38" i="7" s="1"/>
  <c r="L50" i="7" s="1"/>
  <c r="D5" i="7"/>
  <c r="D6" i="7" s="1"/>
  <c r="D7" i="7" s="1"/>
  <c r="D8" i="7" s="1"/>
  <c r="D9" i="7" s="1"/>
  <c r="D10" i="7" s="1"/>
  <c r="D11" i="7" s="1"/>
  <c r="D12" i="7" s="1"/>
  <c r="D13" i="7" s="1"/>
  <c r="D14" i="7" s="1"/>
  <c r="D15" i="7" s="1"/>
  <c r="D16" i="7" s="1"/>
  <c r="D17" i="7" s="1"/>
  <c r="D18" i="7" s="1"/>
  <c r="D19" i="7" s="1"/>
  <c r="D20" i="7" s="1"/>
  <c r="D21" i="7" s="1"/>
  <c r="D22" i="7" s="1"/>
  <c r="D23" i="7" s="1"/>
  <c r="D24" i="7" s="1"/>
  <c r="D25" i="7" s="1"/>
  <c r="D26" i="7" s="1"/>
  <c r="D27" i="7" s="1"/>
  <c r="D28" i="7" s="1"/>
  <c r="D29" i="7" s="1"/>
  <c r="D30" i="7" s="1"/>
  <c r="D31" i="7" s="1"/>
  <c r="D32" i="7" s="1"/>
  <c r="D33" i="7" s="1"/>
  <c r="D34" i="7" s="1"/>
  <c r="D35" i="7" s="1"/>
  <c r="D36" i="7" s="1"/>
  <c r="D37" i="7" s="1"/>
  <c r="D38" i="7" s="1"/>
  <c r="D39" i="7" s="1"/>
  <c r="D40" i="7" s="1"/>
  <c r="D41" i="7" s="1"/>
  <c r="D42" i="7" s="1"/>
  <c r="D43" i="7" s="1"/>
  <c r="D44" i="7" s="1"/>
  <c r="D45" i="7" s="1"/>
  <c r="D46" i="7" s="1"/>
  <c r="D47" i="7" s="1"/>
  <c r="D48" i="7" s="1"/>
  <c r="D49" i="7" s="1"/>
  <c r="D50" i="7" s="1"/>
  <c r="D51" i="7" s="1"/>
  <c r="D52" i="7" s="1"/>
  <c r="D53" i="7" s="1"/>
  <c r="D54" i="7" s="1"/>
  <c r="D55" i="7" s="1"/>
  <c r="D56" i="7" s="1"/>
  <c r="D57" i="7" s="1"/>
  <c r="D58" i="7" s="1"/>
  <c r="D59" i="7" s="1"/>
  <c r="D60" i="7" s="1"/>
  <c r="D61" i="7" s="1"/>
  <c r="D62" i="7" s="1"/>
  <c r="D63" i="7" s="1"/>
  <c r="D64" i="7" s="1"/>
  <c r="D65" i="7" s="1"/>
  <c r="D66" i="7" s="1"/>
  <c r="D67" i="7" s="1"/>
  <c r="D68" i="7" s="1"/>
  <c r="D69" i="7" s="1"/>
  <c r="D70" i="7" s="1"/>
  <c r="D71" i="7" s="1"/>
  <c r="D72" i="7" s="1"/>
  <c r="D73" i="7" s="1"/>
  <c r="D74" i="7" s="1"/>
  <c r="D75" i="7" s="1"/>
  <c r="D76" i="7" s="1"/>
  <c r="D77" i="7" s="1"/>
  <c r="D78" i="7" s="1"/>
  <c r="D79" i="7" s="1"/>
  <c r="D80" i="7" s="1"/>
  <c r="D81" i="7" s="1"/>
  <c r="D82" i="7" s="1"/>
  <c r="D83" i="7" s="1"/>
  <c r="D84" i="7" s="1"/>
  <c r="D85" i="7" s="1"/>
  <c r="D86" i="7" s="1"/>
  <c r="D87" i="7" s="1"/>
  <c r="D88" i="7" s="1"/>
  <c r="D89" i="7" s="1"/>
  <c r="D90" i="7" s="1"/>
  <c r="D91" i="7" s="1"/>
  <c r="D92" i="7" s="1"/>
  <c r="D93" i="7" s="1"/>
  <c r="D94" i="7" s="1"/>
  <c r="D95" i="7" s="1"/>
  <c r="D96" i="7" s="1"/>
  <c r="D97" i="7" s="1"/>
  <c r="D98" i="7" s="1"/>
  <c r="D99" i="7" s="1"/>
  <c r="D100" i="7" s="1"/>
  <c r="D101" i="7" s="1"/>
  <c r="D102" i="7" s="1"/>
  <c r="D103" i="7" s="1"/>
  <c r="D104" i="7" s="1"/>
  <c r="D105" i="7" s="1"/>
  <c r="D106" i="7" s="1"/>
  <c r="D107" i="7" s="1"/>
  <c r="D108" i="7" s="1"/>
  <c r="D109" i="7" s="1"/>
  <c r="D110" i="7" s="1"/>
  <c r="D111" i="7" s="1"/>
  <c r="D112" i="7" s="1"/>
  <c r="D113" i="7" s="1"/>
  <c r="D114" i="7" s="1"/>
  <c r="D115" i="7" s="1"/>
  <c r="D116" i="7" s="1"/>
  <c r="D117" i="7" s="1"/>
  <c r="D118" i="7" s="1"/>
  <c r="D119" i="7" s="1"/>
  <c r="D120" i="7" s="1"/>
  <c r="D121" i="7" s="1"/>
  <c r="D122" i="7" s="1"/>
  <c r="D123" i="7" s="1"/>
  <c r="D124" i="7" s="1"/>
  <c r="D125" i="7" s="1"/>
  <c r="D126" i="7" s="1"/>
  <c r="D127" i="7" s="1"/>
  <c r="D128" i="7" s="1"/>
  <c r="D129" i="7" s="1"/>
  <c r="D130" i="7" s="1"/>
  <c r="D131" i="7" s="1"/>
  <c r="D132" i="7" s="1"/>
  <c r="D133" i="7" s="1"/>
  <c r="D134" i="7" s="1"/>
  <c r="D135" i="7" s="1"/>
  <c r="D136" i="7" s="1"/>
  <c r="D137" i="7" s="1"/>
  <c r="D138" i="7" s="1"/>
  <c r="D139" i="7" s="1"/>
  <c r="D140" i="7" s="1"/>
  <c r="D141" i="7" s="1"/>
  <c r="D142" i="7" s="1"/>
  <c r="D143" i="7" s="1"/>
  <c r="D144" i="7" s="1"/>
  <c r="D145" i="7" s="1"/>
  <c r="D146" i="7" s="1"/>
  <c r="D147" i="7" s="1"/>
  <c r="D148" i="7" s="1"/>
  <c r="D149" i="7" s="1"/>
  <c r="D150" i="7" s="1"/>
  <c r="D151" i="7" s="1"/>
  <c r="D152" i="7" s="1"/>
  <c r="D153" i="7" s="1"/>
  <c r="D154" i="7" s="1"/>
  <c r="D155" i="7" s="1"/>
  <c r="D156" i="7" s="1"/>
  <c r="D157" i="7" s="1"/>
  <c r="D158" i="7" s="1"/>
  <c r="D159" i="7" s="1"/>
  <c r="D160" i="7" s="1"/>
  <c r="D161" i="7" s="1"/>
  <c r="D162" i="7" s="1"/>
  <c r="D163" i="7" s="1"/>
  <c r="D164" i="7" s="1"/>
  <c r="D165" i="7" s="1"/>
  <c r="D166" i="7" s="1"/>
  <c r="D167" i="7" s="1"/>
  <c r="D168" i="7" s="1"/>
  <c r="D169" i="7" s="1"/>
  <c r="D170" i="7" s="1"/>
  <c r="D171" i="7" s="1"/>
  <c r="D172" i="7" s="1"/>
  <c r="D173" i="7" s="1"/>
  <c r="D174" i="7" s="1"/>
  <c r="D175" i="7" s="1"/>
  <c r="D176" i="7" s="1"/>
  <c r="D177" i="7" s="1"/>
  <c r="D178" i="7" s="1"/>
  <c r="D179" i="7" s="1"/>
  <c r="D180" i="7" s="1"/>
  <c r="D181" i="7" s="1"/>
  <c r="D182" i="7" s="1"/>
  <c r="D183" i="7" s="1"/>
  <c r="D184" i="7" s="1"/>
  <c r="D185" i="7" s="1"/>
  <c r="D186" i="7" s="1"/>
  <c r="D187" i="7" s="1"/>
  <c r="D188" i="7" s="1"/>
  <c r="D189" i="7" s="1"/>
  <c r="D190" i="7" s="1"/>
  <c r="D191" i="7" s="1"/>
  <c r="D192" i="7" s="1"/>
  <c r="D193" i="7" s="1"/>
  <c r="D194" i="7" s="1"/>
  <c r="D195" i="7" s="1"/>
  <c r="D196" i="7" s="1"/>
  <c r="D197" i="7" s="1"/>
  <c r="D198" i="7" s="1"/>
  <c r="D199" i="7" s="1"/>
  <c r="D200" i="7" s="1"/>
  <c r="D201" i="7" s="1"/>
  <c r="D202" i="7" s="1"/>
  <c r="D203" i="7" s="1"/>
  <c r="D204" i="7" s="1"/>
  <c r="D205" i="7" s="1"/>
  <c r="D206" i="7" s="1"/>
  <c r="D207" i="7" s="1"/>
  <c r="D208" i="7" s="1"/>
  <c r="D209" i="7" s="1"/>
  <c r="D210" i="7" s="1"/>
  <c r="D211" i="7" s="1"/>
  <c r="D212" i="7" s="1"/>
  <c r="D213" i="7" s="1"/>
  <c r="D214" i="7" s="1"/>
  <c r="D215" i="7" s="1"/>
  <c r="D216" i="7" s="1"/>
  <c r="D217" i="7" s="1"/>
  <c r="D218" i="7" s="1"/>
  <c r="D219" i="7" s="1"/>
  <c r="D220" i="7" s="1"/>
  <c r="D221" i="7" s="1"/>
  <c r="D222" i="7" s="1"/>
  <c r="D223" i="7" s="1"/>
  <c r="D224" i="7" s="1"/>
  <c r="D225" i="7" s="1"/>
  <c r="D226" i="7" s="1"/>
  <c r="D227" i="7" s="1"/>
  <c r="D228" i="7" s="1"/>
  <c r="D229" i="7" s="1"/>
  <c r="D230" i="7" s="1"/>
  <c r="D231" i="7" s="1"/>
  <c r="D232" i="7" s="1"/>
  <c r="D233" i="7" s="1"/>
  <c r="D234" i="7" s="1"/>
  <c r="D235" i="7" s="1"/>
  <c r="D236" i="7" s="1"/>
  <c r="D237" i="7" s="1"/>
  <c r="D238" i="7" s="1"/>
  <c r="D239" i="7" s="1"/>
  <c r="D240" i="7" s="1"/>
  <c r="D241" i="7" s="1"/>
  <c r="D242" i="7" s="1"/>
  <c r="D243" i="7" s="1"/>
  <c r="D244" i="7" s="1"/>
  <c r="D245" i="7" s="1"/>
  <c r="D246" i="7" s="1"/>
  <c r="D247" i="7" s="1"/>
  <c r="D248" i="7" s="1"/>
  <c r="D249" i="7" s="1"/>
  <c r="D250" i="7" s="1"/>
  <c r="D251" i="7" s="1"/>
  <c r="D252" i="7" s="1"/>
  <c r="D253" i="7" s="1"/>
  <c r="D254" i="7" s="1"/>
  <c r="D255" i="7" s="1"/>
  <c r="D256" i="7" s="1"/>
  <c r="D257" i="7" s="1"/>
  <c r="D258" i="7" s="1"/>
  <c r="D259" i="7" s="1"/>
  <c r="D260" i="7" s="1"/>
  <c r="D261" i="7" s="1"/>
  <c r="D262" i="7" s="1"/>
  <c r="D263" i="7" s="1"/>
  <c r="D264" i="7" s="1"/>
  <c r="D265" i="7" s="1"/>
  <c r="D266" i="7" s="1"/>
  <c r="D267" i="7" s="1"/>
  <c r="D268" i="7" s="1"/>
  <c r="D269" i="7" s="1"/>
  <c r="D270" i="7" s="1"/>
  <c r="D271" i="7" s="1"/>
  <c r="D272" i="7" s="1"/>
  <c r="D273" i="7" s="1"/>
  <c r="D274" i="7" s="1"/>
  <c r="D275" i="7" s="1"/>
  <c r="D276" i="7" s="1"/>
  <c r="D277" i="7" s="1"/>
  <c r="D278" i="7" s="1"/>
  <c r="D279" i="7" s="1"/>
  <c r="D280" i="7" s="1"/>
  <c r="D281" i="7" s="1"/>
  <c r="D282" i="7" s="1"/>
  <c r="D283" i="7" s="1"/>
  <c r="D284" i="7" s="1"/>
  <c r="D285" i="7" s="1"/>
  <c r="D286" i="7" s="1"/>
  <c r="D287" i="7" s="1"/>
  <c r="D288" i="7" s="1"/>
  <c r="D289" i="7" s="1"/>
  <c r="D290" i="7" s="1"/>
  <c r="D291" i="7" s="1"/>
  <c r="D292" i="7" s="1"/>
  <c r="D293" i="7" s="1"/>
  <c r="D294" i="7" s="1"/>
  <c r="D295" i="7" s="1"/>
  <c r="D296" i="7" s="1"/>
  <c r="D297" i="7" s="1"/>
  <c r="D298" i="7" s="1"/>
  <c r="D299" i="7" s="1"/>
  <c r="D300" i="7" s="1"/>
  <c r="D301" i="7" s="1"/>
  <c r="D302" i="7" s="1"/>
  <c r="D303" i="7" s="1"/>
  <c r="D304" i="7" s="1"/>
  <c r="D305" i="7" s="1"/>
  <c r="D306" i="7" s="1"/>
  <c r="D307" i="7" s="1"/>
  <c r="D308" i="7" s="1"/>
  <c r="D309" i="7" s="1"/>
  <c r="D310" i="7" s="1"/>
  <c r="D311" i="7" s="1"/>
  <c r="D312" i="7" s="1"/>
  <c r="D313" i="7" s="1"/>
  <c r="D314" i="7" s="1"/>
  <c r="D315" i="7" s="1"/>
  <c r="D316" i="7" s="1"/>
  <c r="D317" i="7" s="1"/>
  <c r="D318" i="7" s="1"/>
  <c r="D319" i="7" s="1"/>
  <c r="D320" i="7" s="1"/>
  <c r="D321" i="7" s="1"/>
  <c r="D322" i="7" s="1"/>
  <c r="D323" i="7" s="1"/>
  <c r="D324" i="7" s="1"/>
  <c r="D325" i="7" s="1"/>
  <c r="D326" i="7" s="1"/>
  <c r="D327" i="7" s="1"/>
  <c r="D328" i="7" s="1"/>
  <c r="D329" i="7" s="1"/>
  <c r="D330" i="7" s="1"/>
  <c r="D331" i="7" s="1"/>
  <c r="D332" i="7" s="1"/>
  <c r="D333" i="7" s="1"/>
  <c r="D334" i="7" s="1"/>
  <c r="D335" i="7" s="1"/>
  <c r="D336" i="7" s="1"/>
  <c r="D337" i="7" s="1"/>
  <c r="D338" i="7" s="1"/>
  <c r="D339" i="7" s="1"/>
  <c r="D340" i="7" s="1"/>
  <c r="D341" i="7" s="1"/>
  <c r="D342" i="7" s="1"/>
  <c r="D343" i="7" s="1"/>
  <c r="D344" i="7" s="1"/>
  <c r="D345" i="7" s="1"/>
  <c r="D346" i="7" s="1"/>
  <c r="D347" i="7" s="1"/>
  <c r="D348" i="7" s="1"/>
  <c r="D349" i="7" s="1"/>
  <c r="D350" i="7" s="1"/>
  <c r="D351" i="7" s="1"/>
  <c r="D352" i="7" s="1"/>
  <c r="D353" i="7" s="1"/>
  <c r="D354" i="7" s="1"/>
  <c r="D355" i="7" s="1"/>
  <c r="D356" i="7" s="1"/>
  <c r="D357" i="7" s="1"/>
  <c r="D358" i="7" s="1"/>
  <c r="D359" i="7" s="1"/>
  <c r="D360" i="7" s="1"/>
  <c r="D361" i="7" s="1"/>
  <c r="D362" i="7" s="1"/>
  <c r="D363" i="7" s="1"/>
  <c r="D364" i="7" s="1"/>
  <c r="D365" i="7" s="1"/>
  <c r="D366" i="7" s="1"/>
  <c r="D367" i="7" s="1"/>
  <c r="D368" i="7" s="1"/>
  <c r="D369" i="7" s="1"/>
  <c r="D370" i="7" s="1"/>
  <c r="D371" i="7" s="1"/>
  <c r="D372" i="7" s="1"/>
  <c r="D373" i="7" s="1"/>
  <c r="D374" i="7" s="1"/>
  <c r="D375" i="7" s="1"/>
  <c r="D376" i="7" s="1"/>
  <c r="D377" i="7" s="1"/>
  <c r="D378" i="7" s="1"/>
  <c r="D379" i="7" s="1"/>
  <c r="D380" i="7" s="1"/>
  <c r="D381" i="7" s="1"/>
  <c r="D382" i="7" s="1"/>
  <c r="D383" i="7" s="1"/>
  <c r="D384" i="7" s="1"/>
  <c r="D385" i="7" s="1"/>
  <c r="D386" i="7" s="1"/>
  <c r="D387" i="7" s="1"/>
  <c r="D388" i="7" s="1"/>
  <c r="D389" i="7" s="1"/>
  <c r="D390" i="7" s="1"/>
  <c r="D391" i="7" s="1"/>
  <c r="D392" i="7" s="1"/>
  <c r="D393" i="7" s="1"/>
  <c r="D394" i="7" s="1"/>
  <c r="D395" i="7" s="1"/>
  <c r="D396" i="7" s="1"/>
  <c r="D397" i="7" s="1"/>
  <c r="D398" i="7" s="1"/>
  <c r="D399" i="7" s="1"/>
  <c r="D400" i="7" s="1"/>
  <c r="D401" i="7" s="1"/>
  <c r="D402" i="7" s="1"/>
  <c r="D403" i="7" s="1"/>
  <c r="D404" i="7" s="1"/>
  <c r="D405" i="7" s="1"/>
  <c r="D406" i="7" s="1"/>
  <c r="D407" i="7" s="1"/>
  <c r="D408" i="7" s="1"/>
  <c r="D409" i="7" s="1"/>
  <c r="D410" i="7" s="1"/>
  <c r="D411" i="7" s="1"/>
  <c r="D412" i="7" s="1"/>
  <c r="D413" i="7" s="1"/>
  <c r="D414" i="7" s="1"/>
  <c r="D415" i="7" s="1"/>
  <c r="D416" i="7" s="1"/>
  <c r="D417" i="7" s="1"/>
  <c r="D418" i="7" s="1"/>
  <c r="D419" i="7" s="1"/>
  <c r="D420" i="7" s="1"/>
  <c r="D421" i="7" s="1"/>
  <c r="D422" i="7" s="1"/>
  <c r="D423" i="7" s="1"/>
  <c r="D424" i="7" s="1"/>
  <c r="D425" i="7" s="1"/>
  <c r="D426" i="7" s="1"/>
  <c r="D427" i="7" s="1"/>
  <c r="D428" i="7" s="1"/>
  <c r="D429" i="7" s="1"/>
  <c r="D430" i="7" s="1"/>
  <c r="D431" i="7" s="1"/>
  <c r="D432" i="7" s="1"/>
  <c r="D433" i="7" s="1"/>
  <c r="D434" i="7" s="1"/>
  <c r="D435" i="7" s="1"/>
  <c r="D436" i="7" s="1"/>
  <c r="D437" i="7" s="1"/>
  <c r="D438" i="7" s="1"/>
  <c r="D439" i="7" s="1"/>
  <c r="D440" i="7" s="1"/>
  <c r="D441" i="7" s="1"/>
  <c r="D442" i="7" s="1"/>
  <c r="D443" i="7" s="1"/>
  <c r="D444" i="7" s="1"/>
  <c r="D445" i="7" s="1"/>
  <c r="D446" i="7" s="1"/>
  <c r="D447" i="7" s="1"/>
  <c r="D448" i="7" s="1"/>
  <c r="D449" i="7" s="1"/>
  <c r="D450" i="7" s="1"/>
  <c r="D451" i="7" s="1"/>
  <c r="D452" i="7" s="1"/>
  <c r="D453" i="7" s="1"/>
  <c r="D454" i="7" s="1"/>
  <c r="D455" i="7" s="1"/>
  <c r="D456" i="7" s="1"/>
  <c r="D457" i="7" s="1"/>
  <c r="D458" i="7" s="1"/>
  <c r="D459" i="7" s="1"/>
  <c r="D460" i="7" s="1"/>
  <c r="D461" i="7" s="1"/>
  <c r="D462" i="7" s="1"/>
  <c r="D463" i="7" s="1"/>
  <c r="D464" i="7" s="1"/>
  <c r="D465" i="7" s="1"/>
  <c r="D466" i="7" s="1"/>
  <c r="D467" i="7" s="1"/>
  <c r="D468" i="7" s="1"/>
  <c r="D469" i="7" s="1"/>
  <c r="D470" i="7" s="1"/>
  <c r="D471" i="7" s="1"/>
  <c r="D472" i="7" s="1"/>
  <c r="D473" i="7" s="1"/>
  <c r="D474" i="7" s="1"/>
  <c r="D475" i="7" s="1"/>
  <c r="D476" i="7" s="1"/>
  <c r="D477" i="7" s="1"/>
  <c r="D478" i="7" s="1"/>
  <c r="D479" i="7" s="1"/>
  <c r="D480" i="7" s="1"/>
  <c r="D481" i="7" s="1"/>
  <c r="D482" i="7" s="1"/>
  <c r="D483" i="7" s="1"/>
  <c r="D484" i="7" s="1"/>
  <c r="D485" i="7" s="1"/>
  <c r="D486" i="7" s="1"/>
  <c r="D487" i="7" s="1"/>
  <c r="D488" i="7" s="1"/>
  <c r="D489" i="7" s="1"/>
  <c r="D490" i="7" s="1"/>
  <c r="D491" i="7" s="1"/>
  <c r="D492" i="7" s="1"/>
  <c r="D493" i="7" s="1"/>
  <c r="D494" i="7" s="1"/>
  <c r="D495" i="7" s="1"/>
  <c r="D496" i="7" s="1"/>
  <c r="D497" i="7" s="1"/>
  <c r="D498" i="7" s="1"/>
  <c r="D499" i="7" s="1"/>
  <c r="D500" i="7" s="1"/>
  <c r="D501" i="7" s="1"/>
  <c r="D502" i="7" s="1"/>
  <c r="D503" i="7" s="1"/>
  <c r="D504" i="7" s="1"/>
  <c r="D505" i="7" s="1"/>
  <c r="D506" i="7" s="1"/>
  <c r="D507" i="7" s="1"/>
  <c r="D508" i="7" s="1"/>
  <c r="D509" i="7" s="1"/>
  <c r="D510" i="7" s="1"/>
  <c r="D511" i="7" s="1"/>
  <c r="D512" i="7" s="1"/>
  <c r="D513" i="7" s="1"/>
  <c r="D514" i="7" s="1"/>
  <c r="D515" i="7" s="1"/>
  <c r="D516" i="7" s="1"/>
  <c r="D517" i="7" s="1"/>
  <c r="D518" i="7" s="1"/>
  <c r="D519" i="7" s="1"/>
  <c r="D520" i="7" s="1"/>
  <c r="D521" i="7" s="1"/>
  <c r="D522" i="7" s="1"/>
  <c r="D523" i="7" s="1"/>
  <c r="D524" i="7" s="1"/>
  <c r="D525" i="7" s="1"/>
  <c r="D526" i="7" s="1"/>
  <c r="D527" i="7" s="1"/>
  <c r="D528" i="7" s="1"/>
  <c r="D529" i="7" s="1"/>
  <c r="D530" i="7" s="1"/>
  <c r="D531" i="7" s="1"/>
  <c r="D532" i="7" s="1"/>
  <c r="D533" i="7" s="1"/>
  <c r="D534" i="7" s="1"/>
  <c r="D535" i="7" s="1"/>
  <c r="D536" i="7" s="1"/>
  <c r="D537" i="7" s="1"/>
  <c r="D538" i="7" s="1"/>
  <c r="D539" i="7" s="1"/>
  <c r="D540" i="7" s="1"/>
  <c r="D541" i="7" s="1"/>
  <c r="D542" i="7" s="1"/>
  <c r="D543" i="7" s="1"/>
  <c r="D544" i="7" s="1"/>
  <c r="D545" i="7" s="1"/>
  <c r="D546" i="7" s="1"/>
  <c r="D547" i="7" s="1"/>
  <c r="D548" i="7" s="1"/>
  <c r="D549" i="7" s="1"/>
  <c r="D550" i="7" s="1"/>
  <c r="D551" i="7" s="1"/>
  <c r="D552" i="7" s="1"/>
  <c r="D553" i="7" s="1"/>
  <c r="D554" i="7" s="1"/>
  <c r="D555" i="7" s="1"/>
  <c r="D556" i="7" s="1"/>
  <c r="D557" i="7" s="1"/>
  <c r="D558" i="7" s="1"/>
  <c r="D559" i="7" s="1"/>
  <c r="D560" i="7" s="1"/>
  <c r="D561" i="7" s="1"/>
  <c r="D562" i="7" s="1"/>
  <c r="D563" i="7" s="1"/>
  <c r="D564" i="7" s="1"/>
  <c r="D565" i="7" s="1"/>
  <c r="D566" i="7" s="1"/>
  <c r="D567" i="7" s="1"/>
  <c r="D568" i="7" s="1"/>
  <c r="D569" i="7" s="1"/>
  <c r="D570" i="7" s="1"/>
  <c r="D571" i="7" s="1"/>
  <c r="D572" i="7" s="1"/>
  <c r="D573" i="7" s="1"/>
  <c r="D574" i="7" s="1"/>
  <c r="D575" i="7" s="1"/>
  <c r="D576" i="7" s="1"/>
  <c r="D577" i="7" s="1"/>
  <c r="D578" i="7" s="1"/>
  <c r="D579" i="7" s="1"/>
  <c r="D580" i="7" s="1"/>
  <c r="D581" i="7" s="1"/>
  <c r="D582" i="7" s="1"/>
  <c r="D583" i="7" s="1"/>
  <c r="D584" i="7" s="1"/>
  <c r="D585" i="7" s="1"/>
  <c r="D586" i="7" s="1"/>
  <c r="D587" i="7" s="1"/>
  <c r="D588" i="7" s="1"/>
  <c r="D589" i="7" s="1"/>
  <c r="D590" i="7" s="1"/>
  <c r="D591" i="7" s="1"/>
  <c r="D592" i="7" s="1"/>
  <c r="D593" i="7" s="1"/>
  <c r="D594" i="7" s="1"/>
  <c r="D595" i="7" s="1"/>
  <c r="D596" i="7" s="1"/>
  <c r="D597" i="7" s="1"/>
  <c r="D598" i="7" s="1"/>
  <c r="D599" i="7" s="1"/>
  <c r="D600" i="7" s="1"/>
  <c r="D601" i="7" s="1"/>
  <c r="D602" i="7" s="1"/>
  <c r="D603" i="7" s="1"/>
  <c r="D604" i="7" s="1"/>
  <c r="D605" i="7" s="1"/>
  <c r="D606" i="7" s="1"/>
  <c r="D607" i="7" s="1"/>
  <c r="D608" i="7" s="1"/>
  <c r="D609" i="7" s="1"/>
  <c r="D610" i="7" s="1"/>
  <c r="D611" i="7" s="1"/>
  <c r="D612" i="7" s="1"/>
  <c r="D613" i="7" s="1"/>
  <c r="D614" i="7" s="1"/>
  <c r="D615" i="7" s="1"/>
  <c r="D616" i="7" s="1"/>
  <c r="D617" i="7" s="1"/>
  <c r="D618" i="7" s="1"/>
  <c r="D619" i="7" s="1"/>
  <c r="D620" i="7" s="1"/>
  <c r="D621" i="7" s="1"/>
  <c r="D622" i="7" s="1"/>
  <c r="D623" i="7" s="1"/>
  <c r="D624" i="7" s="1"/>
  <c r="D625" i="7" s="1"/>
  <c r="D626" i="7" s="1"/>
  <c r="D627" i="7" s="1"/>
  <c r="D628" i="7" s="1"/>
  <c r="D629" i="7" s="1"/>
  <c r="D630" i="7" s="1"/>
  <c r="D631" i="7" s="1"/>
  <c r="D632" i="7" s="1"/>
  <c r="D633" i="7" s="1"/>
  <c r="D634" i="7" s="1"/>
  <c r="D635" i="7" s="1"/>
  <c r="D636" i="7" s="1"/>
  <c r="D637" i="7" s="1"/>
  <c r="D638" i="7" s="1"/>
  <c r="D639" i="7" s="1"/>
  <c r="D640" i="7" s="1"/>
  <c r="D641" i="7" s="1"/>
  <c r="D642" i="7" s="1"/>
  <c r="D643" i="7" s="1"/>
  <c r="D644" i="7" s="1"/>
  <c r="D645" i="7" s="1"/>
  <c r="D646" i="7" s="1"/>
  <c r="D647" i="7" s="1"/>
  <c r="D648" i="7" s="1"/>
  <c r="D649" i="7" s="1"/>
  <c r="D650" i="7" s="1"/>
  <c r="D651" i="7" s="1"/>
  <c r="D652" i="7" s="1"/>
  <c r="D653" i="7" s="1"/>
  <c r="D654" i="7" s="1"/>
  <c r="D655" i="7" s="1"/>
  <c r="D656" i="7" s="1"/>
  <c r="D657" i="7" s="1"/>
  <c r="D658" i="7" s="1"/>
  <c r="D659" i="7" s="1"/>
  <c r="D660" i="7" s="1"/>
  <c r="D661" i="7" s="1"/>
  <c r="D662" i="7" s="1"/>
  <c r="D663" i="7" s="1"/>
  <c r="D664" i="7" s="1"/>
  <c r="D665" i="7" s="1"/>
  <c r="D666" i="7" s="1"/>
  <c r="D667" i="7" s="1"/>
  <c r="D668" i="7" s="1"/>
  <c r="D669" i="7" s="1"/>
  <c r="D670" i="7" s="1"/>
  <c r="D671" i="7" s="1"/>
  <c r="D672" i="7" s="1"/>
  <c r="D673" i="7" s="1"/>
  <c r="D674" i="7" s="1"/>
  <c r="D675" i="7" s="1"/>
  <c r="D676" i="7" s="1"/>
  <c r="D677" i="7" s="1"/>
  <c r="D678" i="7" s="1"/>
  <c r="D679" i="7" s="1"/>
  <c r="D680" i="7" s="1"/>
  <c r="D681" i="7" s="1"/>
  <c r="D682" i="7" s="1"/>
  <c r="D683" i="7" s="1"/>
  <c r="D684" i="7" s="1"/>
  <c r="D685" i="7" s="1"/>
  <c r="D686" i="7" s="1"/>
  <c r="D687" i="7" s="1"/>
  <c r="D688" i="7" s="1"/>
  <c r="D689" i="7" s="1"/>
  <c r="D690" i="7" s="1"/>
  <c r="D691" i="7" s="1"/>
  <c r="D692" i="7" s="1"/>
  <c r="D693" i="7" s="1"/>
  <c r="D694" i="7" s="1"/>
  <c r="D695" i="7" s="1"/>
  <c r="D696" i="7" s="1"/>
  <c r="D697" i="7" s="1"/>
  <c r="D698" i="7" s="1"/>
  <c r="D699" i="7" s="1"/>
  <c r="D700" i="7" s="1"/>
  <c r="D701" i="7" s="1"/>
  <c r="D702" i="7" s="1"/>
  <c r="D703" i="7" s="1"/>
  <c r="D704" i="7" s="1"/>
  <c r="D705" i="7" s="1"/>
  <c r="D706" i="7" s="1"/>
  <c r="D707" i="7" s="1"/>
  <c r="D708" i="7" s="1"/>
  <c r="D709" i="7" s="1"/>
  <c r="D710" i="7" s="1"/>
  <c r="D711" i="7" s="1"/>
  <c r="D712" i="7" s="1"/>
  <c r="D713" i="7" s="1"/>
  <c r="D714" i="7" s="1"/>
  <c r="D715" i="7" s="1"/>
  <c r="D716" i="7" s="1"/>
  <c r="D717" i="7" s="1"/>
  <c r="D718" i="7" s="1"/>
  <c r="D719" i="7" s="1"/>
  <c r="D720" i="7" s="1"/>
  <c r="D721" i="7" s="1"/>
  <c r="D722" i="7" s="1"/>
  <c r="D723" i="7" s="1"/>
  <c r="D724" i="7" s="1"/>
  <c r="D725" i="7" s="1"/>
  <c r="D726" i="7" s="1"/>
  <c r="D727" i="7" s="1"/>
  <c r="D728" i="7" s="1"/>
  <c r="D729" i="7" s="1"/>
  <c r="D730" i="7" s="1"/>
  <c r="D731" i="7" s="1"/>
  <c r="D732" i="7" s="1"/>
  <c r="D733" i="7" s="1"/>
  <c r="D734" i="7" s="1"/>
  <c r="D735" i="7" s="1"/>
  <c r="D736" i="7" s="1"/>
  <c r="D737" i="7" s="1"/>
  <c r="D738" i="7" s="1"/>
  <c r="D739" i="7" s="1"/>
  <c r="D740" i="7" s="1"/>
  <c r="D741" i="7" s="1"/>
  <c r="D742" i="7" s="1"/>
  <c r="D743" i="7" s="1"/>
  <c r="D744" i="7" s="1"/>
  <c r="D745" i="7" s="1"/>
  <c r="D746" i="7" s="1"/>
  <c r="D747" i="7" s="1"/>
  <c r="D748" i="7" s="1"/>
  <c r="D749" i="7" s="1"/>
  <c r="D750" i="7" s="1"/>
  <c r="D751" i="7" s="1"/>
  <c r="D752" i="7" s="1"/>
  <c r="D753" i="7" s="1"/>
  <c r="D754" i="7" s="1"/>
  <c r="D755" i="7" s="1"/>
  <c r="D756" i="7" s="1"/>
  <c r="D757" i="7" s="1"/>
  <c r="D758" i="7" s="1"/>
  <c r="D759" i="7" s="1"/>
  <c r="D760" i="7" s="1"/>
  <c r="D761" i="7" s="1"/>
  <c r="D762" i="7" s="1"/>
  <c r="D763" i="7" s="1"/>
  <c r="D764" i="7" s="1"/>
  <c r="D765" i="7" s="1"/>
  <c r="D766" i="7" s="1"/>
  <c r="D767" i="7" s="1"/>
  <c r="D768" i="7" s="1"/>
  <c r="D769" i="7" s="1"/>
  <c r="D770" i="7" s="1"/>
  <c r="D771" i="7" s="1"/>
  <c r="D772" i="7" s="1"/>
  <c r="D773" i="7" s="1"/>
  <c r="D774" i="7" s="1"/>
  <c r="D775" i="7" s="1"/>
  <c r="D776" i="7" s="1"/>
  <c r="D777" i="7" s="1"/>
  <c r="D778" i="7" s="1"/>
  <c r="D779" i="7" s="1"/>
  <c r="D780" i="7" s="1"/>
  <c r="D781" i="7" s="1"/>
  <c r="D782" i="7" s="1"/>
  <c r="D783" i="7" s="1"/>
  <c r="D784" i="7" s="1"/>
  <c r="D785" i="7" s="1"/>
  <c r="D786" i="7" s="1"/>
  <c r="D787" i="7" s="1"/>
  <c r="D788" i="7" s="1"/>
  <c r="D789" i="7" s="1"/>
  <c r="D790" i="7" s="1"/>
  <c r="D791" i="7" s="1"/>
  <c r="D792" i="7" s="1"/>
  <c r="D793" i="7" s="1"/>
  <c r="D794" i="7" s="1"/>
  <c r="D795" i="7" s="1"/>
  <c r="D796" i="7" s="1"/>
  <c r="D797" i="7" s="1"/>
  <c r="D798" i="7" s="1"/>
  <c r="D799" i="7" s="1"/>
  <c r="D800" i="7" s="1"/>
  <c r="D801" i="7" s="1"/>
  <c r="D802" i="7" s="1"/>
  <c r="D803" i="7" s="1"/>
  <c r="D804" i="7" s="1"/>
  <c r="D805" i="7" s="1"/>
  <c r="D806" i="7" s="1"/>
  <c r="D807" i="7" s="1"/>
  <c r="D808" i="7" s="1"/>
  <c r="D809" i="7" s="1"/>
  <c r="D810" i="7" s="1"/>
  <c r="D811" i="7" s="1"/>
  <c r="D812" i="7" s="1"/>
  <c r="D813" i="7" s="1"/>
  <c r="D814" i="7" s="1"/>
  <c r="D815" i="7" s="1"/>
  <c r="D816" i="7" s="1"/>
  <c r="D817" i="7" s="1"/>
  <c r="D818" i="7" s="1"/>
  <c r="D819" i="7" s="1"/>
  <c r="D820" i="7" s="1"/>
  <c r="D821" i="7" s="1"/>
  <c r="D822" i="7" s="1"/>
  <c r="D823" i="7" s="1"/>
  <c r="D824" i="7" s="1"/>
  <c r="D825" i="7" s="1"/>
  <c r="D826" i="7" s="1"/>
  <c r="D827" i="7" s="1"/>
  <c r="D828" i="7" s="1"/>
  <c r="D829" i="7" s="1"/>
  <c r="D830" i="7" s="1"/>
  <c r="D831" i="7" s="1"/>
  <c r="D832" i="7" s="1"/>
  <c r="D833" i="7" s="1"/>
  <c r="D834" i="7" s="1"/>
  <c r="D835" i="7" s="1"/>
  <c r="D836" i="7" s="1"/>
  <c r="D837" i="7" s="1"/>
  <c r="D838" i="7" s="1"/>
  <c r="D839" i="7" s="1"/>
  <c r="D840" i="7" s="1"/>
  <c r="D841" i="7" s="1"/>
  <c r="D842" i="7" s="1"/>
  <c r="D843" i="7" s="1"/>
  <c r="D844" i="7" s="1"/>
  <c r="D845" i="7" s="1"/>
  <c r="D846" i="7" s="1"/>
  <c r="D847" i="7" s="1"/>
  <c r="D848" i="7" s="1"/>
  <c r="D849" i="7" s="1"/>
  <c r="D850" i="7" s="1"/>
  <c r="D851" i="7" s="1"/>
  <c r="D852" i="7" s="1"/>
  <c r="D853" i="7" s="1"/>
  <c r="D854" i="7" s="1"/>
  <c r="D855" i="7" s="1"/>
  <c r="D856" i="7" s="1"/>
  <c r="D857" i="7" s="1"/>
  <c r="D858" i="7" s="1"/>
  <c r="D859" i="7" s="1"/>
  <c r="D860" i="7" s="1"/>
  <c r="D861" i="7" s="1"/>
  <c r="D862" i="7" s="1"/>
  <c r="D863" i="7" s="1"/>
  <c r="D864" i="7" s="1"/>
  <c r="D865" i="7" s="1"/>
  <c r="D866" i="7" s="1"/>
  <c r="D867" i="7" s="1"/>
  <c r="D868" i="7" s="1"/>
  <c r="D869" i="7" s="1"/>
  <c r="D870" i="7" s="1"/>
  <c r="D871" i="7" s="1"/>
  <c r="D872" i="7" s="1"/>
  <c r="D873" i="7" s="1"/>
  <c r="D874" i="7" s="1"/>
  <c r="D875" i="7" s="1"/>
  <c r="D876" i="7" s="1"/>
  <c r="D877" i="7" s="1"/>
  <c r="D878" i="7" s="1"/>
  <c r="D879" i="7" s="1"/>
  <c r="D880" i="7" s="1"/>
  <c r="D881" i="7" s="1"/>
  <c r="D882" i="7" s="1"/>
  <c r="D883" i="7" s="1"/>
  <c r="D884" i="7" s="1"/>
  <c r="D885" i="7" s="1"/>
  <c r="D886" i="7" s="1"/>
  <c r="D887" i="7" s="1"/>
  <c r="D888" i="7" s="1"/>
  <c r="D889" i="7" s="1"/>
  <c r="D890" i="7" s="1"/>
  <c r="D891" i="7" s="1"/>
  <c r="D892" i="7" s="1"/>
  <c r="D893" i="7" s="1"/>
  <c r="D894" i="7" s="1"/>
  <c r="D895" i="7" s="1"/>
  <c r="D896" i="7" s="1"/>
  <c r="D897" i="7" s="1"/>
  <c r="D898" i="7" s="1"/>
  <c r="D899" i="7" s="1"/>
  <c r="D900" i="7" s="1"/>
  <c r="D901" i="7" s="1"/>
  <c r="D902" i="7" s="1"/>
  <c r="D903" i="7" s="1"/>
  <c r="D904" i="7" s="1"/>
  <c r="D905" i="7" s="1"/>
  <c r="D906" i="7" s="1"/>
  <c r="D907" i="7" s="1"/>
  <c r="D908" i="7" s="1"/>
  <c r="D909" i="7" s="1"/>
  <c r="D910" i="7" s="1"/>
  <c r="D911" i="7" s="1"/>
  <c r="D912" i="7" s="1"/>
  <c r="D913" i="7" s="1"/>
  <c r="D914" i="7" s="1"/>
  <c r="D915" i="7" s="1"/>
  <c r="D916" i="7" s="1"/>
  <c r="D917" i="7" s="1"/>
  <c r="D918" i="7" s="1"/>
  <c r="D919" i="7" s="1"/>
  <c r="D920" i="7" s="1"/>
  <c r="D921" i="7" s="1"/>
  <c r="D922" i="7" s="1"/>
  <c r="D923" i="7" s="1"/>
  <c r="D924" i="7" s="1"/>
  <c r="D925" i="7" s="1"/>
  <c r="D926" i="7" s="1"/>
  <c r="D927" i="7" s="1"/>
  <c r="D928" i="7" s="1"/>
  <c r="D929" i="7" s="1"/>
  <c r="D930" i="7" s="1"/>
  <c r="D931" i="7" s="1"/>
  <c r="D932" i="7" s="1"/>
  <c r="D933" i="7" s="1"/>
  <c r="D934" i="7" s="1"/>
  <c r="D935" i="7" s="1"/>
  <c r="D936" i="7" s="1"/>
  <c r="D937" i="7" s="1"/>
  <c r="D938" i="7" s="1"/>
  <c r="D939" i="7" s="1"/>
  <c r="D940" i="7" s="1"/>
  <c r="D941" i="7" s="1"/>
  <c r="D942" i="7" s="1"/>
  <c r="D943" i="7" s="1"/>
  <c r="D944" i="7" s="1"/>
  <c r="D945" i="7" s="1"/>
  <c r="D946" i="7" s="1"/>
  <c r="D947" i="7" s="1"/>
  <c r="D948" i="7" s="1"/>
  <c r="D949" i="7" s="1"/>
  <c r="D950" i="7" s="1"/>
  <c r="D951" i="7" s="1"/>
  <c r="D952" i="7" s="1"/>
  <c r="D953" i="7" s="1"/>
  <c r="D954" i="7" s="1"/>
  <c r="D955" i="7" s="1"/>
  <c r="D956" i="7" s="1"/>
  <c r="D957" i="7" s="1"/>
  <c r="D958" i="7" s="1"/>
  <c r="D959" i="7" s="1"/>
  <c r="D960" i="7" s="1"/>
  <c r="D961" i="7" s="1"/>
  <c r="D962" i="7" s="1"/>
  <c r="D963" i="7" s="1"/>
  <c r="E138" i="7"/>
  <c r="E234" i="7" s="1"/>
  <c r="E330" i="7" s="1"/>
  <c r="E426" i="7" s="1"/>
  <c r="E522" i="7" s="1"/>
  <c r="E618" i="7" s="1"/>
  <c r="E714" i="7" s="1"/>
  <c r="E810" i="7" s="1"/>
  <c r="E906" i="7" s="1"/>
  <c r="E294" i="7"/>
  <c r="E390" i="7" s="1"/>
  <c r="E486" i="7" s="1"/>
  <c r="E582" i="7" s="1"/>
  <c r="E678" i="7" s="1"/>
  <c r="E774" i="7" s="1"/>
  <c r="E870" i="7" s="1"/>
  <c r="E101" i="7"/>
  <c r="E197" i="7" s="1"/>
  <c r="E293" i="7" s="1"/>
  <c r="E389" i="7" s="1"/>
  <c r="E485" i="7" s="1"/>
  <c r="E581" i="7" s="1"/>
  <c r="E677" i="7" s="1"/>
  <c r="E773" i="7" s="1"/>
  <c r="E869" i="7" s="1"/>
  <c r="E102" i="7"/>
  <c r="E198" i="7" s="1"/>
  <c r="E103" i="7"/>
  <c r="E199" i="7" s="1"/>
  <c r="E295" i="7" s="1"/>
  <c r="E391" i="7" s="1"/>
  <c r="E487" i="7" s="1"/>
  <c r="E583" i="7" s="1"/>
  <c r="E679" i="7" s="1"/>
  <c r="E775" i="7" s="1"/>
  <c r="E871" i="7" s="1"/>
  <c r="E104" i="7"/>
  <c r="E200" i="7" s="1"/>
  <c r="E296" i="7" s="1"/>
  <c r="E392" i="7" s="1"/>
  <c r="E488" i="7" s="1"/>
  <c r="E584" i="7" s="1"/>
  <c r="E680" i="7" s="1"/>
  <c r="E776" i="7" s="1"/>
  <c r="E872" i="7" s="1"/>
  <c r="E105" i="7"/>
  <c r="E201" i="7" s="1"/>
  <c r="E297" i="7" s="1"/>
  <c r="E393" i="7" s="1"/>
  <c r="E489" i="7" s="1"/>
  <c r="E585" i="7" s="1"/>
  <c r="E681" i="7" s="1"/>
  <c r="E777" i="7" s="1"/>
  <c r="E873" i="7" s="1"/>
  <c r="E106" i="7"/>
  <c r="E202" i="7" s="1"/>
  <c r="E298" i="7" s="1"/>
  <c r="E394" i="7" s="1"/>
  <c r="E490" i="7" s="1"/>
  <c r="E586" i="7" s="1"/>
  <c r="E682" i="7" s="1"/>
  <c r="E778" i="7" s="1"/>
  <c r="E874" i="7" s="1"/>
  <c r="E107" i="7"/>
  <c r="E203" i="7" s="1"/>
  <c r="E299" i="7" s="1"/>
  <c r="E395" i="7" s="1"/>
  <c r="E491" i="7" s="1"/>
  <c r="E587" i="7" s="1"/>
  <c r="E683" i="7" s="1"/>
  <c r="E779" i="7" s="1"/>
  <c r="E875" i="7" s="1"/>
  <c r="E108" i="7"/>
  <c r="E204" i="7" s="1"/>
  <c r="E300" i="7" s="1"/>
  <c r="E396" i="7" s="1"/>
  <c r="E492" i="7" s="1"/>
  <c r="E588" i="7" s="1"/>
  <c r="E684" i="7" s="1"/>
  <c r="E780" i="7" s="1"/>
  <c r="E876" i="7" s="1"/>
  <c r="E109" i="7"/>
  <c r="E205" i="7" s="1"/>
  <c r="E301" i="7" s="1"/>
  <c r="E397" i="7" s="1"/>
  <c r="E493" i="7" s="1"/>
  <c r="E589" i="7" s="1"/>
  <c r="E685" i="7" s="1"/>
  <c r="E781" i="7" s="1"/>
  <c r="E877" i="7" s="1"/>
  <c r="E110" i="7"/>
  <c r="E206" i="7" s="1"/>
  <c r="E302" i="7" s="1"/>
  <c r="E398" i="7" s="1"/>
  <c r="E494" i="7" s="1"/>
  <c r="E590" i="7" s="1"/>
  <c r="E686" i="7" s="1"/>
  <c r="E782" i="7" s="1"/>
  <c r="E878" i="7" s="1"/>
  <c r="E113" i="7"/>
  <c r="E209" i="7" s="1"/>
  <c r="E305" i="7" s="1"/>
  <c r="E401" i="7" s="1"/>
  <c r="E497" i="7" s="1"/>
  <c r="E593" i="7" s="1"/>
  <c r="E689" i="7" s="1"/>
  <c r="E785" i="7" s="1"/>
  <c r="E881" i="7" s="1"/>
  <c r="E114" i="7"/>
  <c r="E210" i="7" s="1"/>
  <c r="E306" i="7" s="1"/>
  <c r="E402" i="7" s="1"/>
  <c r="E498" i="7" s="1"/>
  <c r="E594" i="7" s="1"/>
  <c r="E690" i="7" s="1"/>
  <c r="E786" i="7" s="1"/>
  <c r="E882" i="7" s="1"/>
  <c r="E117" i="7"/>
  <c r="E213" i="7" s="1"/>
  <c r="E309" i="7" s="1"/>
  <c r="E405" i="7" s="1"/>
  <c r="E501" i="7" s="1"/>
  <c r="E597" i="7" s="1"/>
  <c r="E693" i="7" s="1"/>
  <c r="E789" i="7" s="1"/>
  <c r="E885" i="7" s="1"/>
  <c r="E118" i="7"/>
  <c r="E214" i="7" s="1"/>
  <c r="E310" i="7" s="1"/>
  <c r="E406" i="7" s="1"/>
  <c r="E502" i="7" s="1"/>
  <c r="E598" i="7" s="1"/>
  <c r="E694" i="7" s="1"/>
  <c r="E790" i="7" s="1"/>
  <c r="E886" i="7" s="1"/>
  <c r="E119" i="7"/>
  <c r="E215" i="7" s="1"/>
  <c r="E311" i="7" s="1"/>
  <c r="E407" i="7" s="1"/>
  <c r="E503" i="7" s="1"/>
  <c r="E599" i="7" s="1"/>
  <c r="E695" i="7" s="1"/>
  <c r="E791" i="7" s="1"/>
  <c r="E887" i="7" s="1"/>
  <c r="E121" i="7"/>
  <c r="E217" i="7" s="1"/>
  <c r="E313" i="7" s="1"/>
  <c r="E409" i="7" s="1"/>
  <c r="E505" i="7" s="1"/>
  <c r="E601" i="7" s="1"/>
  <c r="E697" i="7" s="1"/>
  <c r="E793" i="7" s="1"/>
  <c r="E889" i="7" s="1"/>
  <c r="E122" i="7"/>
  <c r="E218" i="7" s="1"/>
  <c r="E314" i="7" s="1"/>
  <c r="E410" i="7" s="1"/>
  <c r="E506" i="7" s="1"/>
  <c r="E602" i="7" s="1"/>
  <c r="E698" i="7" s="1"/>
  <c r="E794" i="7" s="1"/>
  <c r="E890" i="7" s="1"/>
  <c r="E123" i="7"/>
  <c r="E219" i="7" s="1"/>
  <c r="E315" i="7" s="1"/>
  <c r="E411" i="7" s="1"/>
  <c r="E507" i="7" s="1"/>
  <c r="E603" i="7" s="1"/>
  <c r="E699" i="7" s="1"/>
  <c r="E795" i="7" s="1"/>
  <c r="E891" i="7" s="1"/>
  <c r="E125" i="7"/>
  <c r="E221" i="7" s="1"/>
  <c r="E317" i="7" s="1"/>
  <c r="E413" i="7" s="1"/>
  <c r="E509" i="7" s="1"/>
  <c r="E605" i="7" s="1"/>
  <c r="E701" i="7" s="1"/>
  <c r="E797" i="7" s="1"/>
  <c r="E893" i="7" s="1"/>
  <c r="E126" i="7"/>
  <c r="E222" i="7" s="1"/>
  <c r="E318" i="7" s="1"/>
  <c r="E414" i="7" s="1"/>
  <c r="E510" i="7" s="1"/>
  <c r="E606" i="7" s="1"/>
  <c r="E702" i="7" s="1"/>
  <c r="E798" i="7" s="1"/>
  <c r="E894" i="7" s="1"/>
  <c r="E129" i="7"/>
  <c r="E225" i="7" s="1"/>
  <c r="E321" i="7" s="1"/>
  <c r="E417" i="7" s="1"/>
  <c r="E513" i="7" s="1"/>
  <c r="E609" i="7" s="1"/>
  <c r="E705" i="7" s="1"/>
  <c r="E801" i="7" s="1"/>
  <c r="E897" i="7" s="1"/>
  <c r="E130" i="7"/>
  <c r="E226" i="7" s="1"/>
  <c r="E322" i="7" s="1"/>
  <c r="E418" i="7" s="1"/>
  <c r="E514" i="7" s="1"/>
  <c r="E610" i="7" s="1"/>
  <c r="E706" i="7" s="1"/>
  <c r="E802" i="7" s="1"/>
  <c r="E898" i="7" s="1"/>
  <c r="E133" i="7"/>
  <c r="E229" i="7" s="1"/>
  <c r="E325" i="7" s="1"/>
  <c r="E421" i="7" s="1"/>
  <c r="E517" i="7" s="1"/>
  <c r="E613" i="7" s="1"/>
  <c r="E709" i="7" s="1"/>
  <c r="E805" i="7" s="1"/>
  <c r="E901" i="7" s="1"/>
  <c r="E134" i="7"/>
  <c r="E230" i="7" s="1"/>
  <c r="E326" i="7" s="1"/>
  <c r="E422" i="7" s="1"/>
  <c r="E518" i="7" s="1"/>
  <c r="E614" i="7" s="1"/>
  <c r="E710" i="7" s="1"/>
  <c r="E806" i="7" s="1"/>
  <c r="E902" i="7" s="1"/>
  <c r="E135" i="7"/>
  <c r="E231" i="7" s="1"/>
  <c r="E327" i="7" s="1"/>
  <c r="E423" i="7" s="1"/>
  <c r="E519" i="7" s="1"/>
  <c r="E615" i="7" s="1"/>
  <c r="E711" i="7" s="1"/>
  <c r="E807" i="7" s="1"/>
  <c r="E903" i="7" s="1"/>
  <c r="E137" i="7"/>
  <c r="E233" i="7" s="1"/>
  <c r="E329" i="7" s="1"/>
  <c r="E425" i="7" s="1"/>
  <c r="E521" i="7" s="1"/>
  <c r="E617" i="7" s="1"/>
  <c r="E713" i="7" s="1"/>
  <c r="E809" i="7" s="1"/>
  <c r="E905" i="7" s="1"/>
  <c r="E141" i="7"/>
  <c r="E237" i="7" s="1"/>
  <c r="E333" i="7" s="1"/>
  <c r="E429" i="7" s="1"/>
  <c r="E525" i="7" s="1"/>
  <c r="E621" i="7" s="1"/>
  <c r="E717" i="7" s="1"/>
  <c r="E813" i="7" s="1"/>
  <c r="E909" i="7" s="1"/>
  <c r="E142" i="7"/>
  <c r="E238" i="7" s="1"/>
  <c r="E334" i="7" s="1"/>
  <c r="E430" i="7" s="1"/>
  <c r="E526" i="7" s="1"/>
  <c r="E622" i="7" s="1"/>
  <c r="E718" i="7" s="1"/>
  <c r="E814" i="7" s="1"/>
  <c r="E910" i="7" s="1"/>
  <c r="E145" i="7"/>
  <c r="E241" i="7" s="1"/>
  <c r="E337" i="7" s="1"/>
  <c r="E433" i="7" s="1"/>
  <c r="E529" i="7" s="1"/>
  <c r="E625" i="7" s="1"/>
  <c r="E721" i="7" s="1"/>
  <c r="E817" i="7" s="1"/>
  <c r="E913" i="7" s="1"/>
  <c r="E146" i="7"/>
  <c r="E242" i="7" s="1"/>
  <c r="E338" i="7" s="1"/>
  <c r="E434" i="7" s="1"/>
  <c r="E530" i="7" s="1"/>
  <c r="E626" i="7" s="1"/>
  <c r="E722" i="7" s="1"/>
  <c r="E818" i="7" s="1"/>
  <c r="E914" i="7" s="1"/>
  <c r="E147" i="7"/>
  <c r="E243" i="7" s="1"/>
  <c r="E339" i="7" s="1"/>
  <c r="E435" i="7" s="1"/>
  <c r="E531" i="7" s="1"/>
  <c r="E627" i="7" s="1"/>
  <c r="E723" i="7" s="1"/>
  <c r="E819" i="7" s="1"/>
  <c r="E915" i="7" s="1"/>
  <c r="E149" i="7"/>
  <c r="E245" i="7" s="1"/>
  <c r="E341" i="7" s="1"/>
  <c r="E437" i="7" s="1"/>
  <c r="E533" i="7" s="1"/>
  <c r="E629" i="7" s="1"/>
  <c r="E725" i="7" s="1"/>
  <c r="E821" i="7" s="1"/>
  <c r="E917" i="7" s="1"/>
  <c r="E150" i="7"/>
  <c r="E246" i="7" s="1"/>
  <c r="E342" i="7" s="1"/>
  <c r="E438" i="7" s="1"/>
  <c r="E534" i="7" s="1"/>
  <c r="E630" i="7" s="1"/>
  <c r="E726" i="7" s="1"/>
  <c r="E822" i="7" s="1"/>
  <c r="E918" i="7" s="1"/>
  <c r="E151" i="7"/>
  <c r="E247" i="7" s="1"/>
  <c r="E343" i="7" s="1"/>
  <c r="E439" i="7" s="1"/>
  <c r="E535" i="7" s="1"/>
  <c r="E631" i="7" s="1"/>
  <c r="E727" i="7" s="1"/>
  <c r="E823" i="7" s="1"/>
  <c r="E919" i="7" s="1"/>
  <c r="E153" i="7"/>
  <c r="E249" i="7" s="1"/>
  <c r="E345" i="7" s="1"/>
  <c r="E441" i="7" s="1"/>
  <c r="E537" i="7" s="1"/>
  <c r="E633" i="7" s="1"/>
  <c r="E729" i="7" s="1"/>
  <c r="E825" i="7" s="1"/>
  <c r="E921" i="7" s="1"/>
  <c r="E154" i="7"/>
  <c r="E250" i="7" s="1"/>
  <c r="E346" i="7" s="1"/>
  <c r="E442" i="7" s="1"/>
  <c r="E538" i="7" s="1"/>
  <c r="E634" i="7" s="1"/>
  <c r="E730" i="7" s="1"/>
  <c r="E826" i="7" s="1"/>
  <c r="E922" i="7" s="1"/>
  <c r="E157" i="7"/>
  <c r="E253" i="7" s="1"/>
  <c r="E349" i="7" s="1"/>
  <c r="E445" i="7" s="1"/>
  <c r="E541" i="7" s="1"/>
  <c r="E637" i="7" s="1"/>
  <c r="E733" i="7" s="1"/>
  <c r="E829" i="7" s="1"/>
  <c r="E925" i="7" s="1"/>
  <c r="E158" i="7"/>
  <c r="E254" i="7" s="1"/>
  <c r="E350" i="7" s="1"/>
  <c r="E446" i="7" s="1"/>
  <c r="E542" i="7" s="1"/>
  <c r="E638" i="7" s="1"/>
  <c r="E734" i="7" s="1"/>
  <c r="E830" i="7" s="1"/>
  <c r="E926" i="7" s="1"/>
  <c r="E161" i="7"/>
  <c r="E257" i="7" s="1"/>
  <c r="E353" i="7" s="1"/>
  <c r="E449" i="7" s="1"/>
  <c r="E545" i="7" s="1"/>
  <c r="E641" i="7" s="1"/>
  <c r="E737" i="7" s="1"/>
  <c r="E833" i="7" s="1"/>
  <c r="E929" i="7" s="1"/>
  <c r="E162" i="7"/>
  <c r="E258" i="7" s="1"/>
  <c r="E354" i="7" s="1"/>
  <c r="E450" i="7" s="1"/>
  <c r="E546" i="7" s="1"/>
  <c r="E642" i="7" s="1"/>
  <c r="E738" i="7" s="1"/>
  <c r="E834" i="7" s="1"/>
  <c r="E930" i="7" s="1"/>
  <c r="E165" i="7"/>
  <c r="E261" i="7" s="1"/>
  <c r="E357" i="7" s="1"/>
  <c r="E453" i="7" s="1"/>
  <c r="E549" i="7" s="1"/>
  <c r="E645" i="7" s="1"/>
  <c r="E741" i="7" s="1"/>
  <c r="E837" i="7" s="1"/>
  <c r="E933" i="7" s="1"/>
  <c r="E166" i="7"/>
  <c r="E262" i="7" s="1"/>
  <c r="E358" i="7" s="1"/>
  <c r="E454" i="7" s="1"/>
  <c r="E550" i="7" s="1"/>
  <c r="E646" i="7" s="1"/>
  <c r="E742" i="7" s="1"/>
  <c r="E838" i="7" s="1"/>
  <c r="E934" i="7" s="1"/>
  <c r="E169" i="7"/>
  <c r="E265" i="7" s="1"/>
  <c r="E361" i="7" s="1"/>
  <c r="E457" i="7" s="1"/>
  <c r="E553" i="7" s="1"/>
  <c r="E649" i="7" s="1"/>
  <c r="E745" i="7" s="1"/>
  <c r="E841" i="7" s="1"/>
  <c r="E937" i="7" s="1"/>
  <c r="E170" i="7"/>
  <c r="E266" i="7" s="1"/>
  <c r="E362" i="7" s="1"/>
  <c r="E458" i="7" s="1"/>
  <c r="E554" i="7" s="1"/>
  <c r="E650" i="7" s="1"/>
  <c r="E746" i="7" s="1"/>
  <c r="E842" i="7" s="1"/>
  <c r="E938" i="7" s="1"/>
  <c r="E173" i="7"/>
  <c r="E269" i="7" s="1"/>
  <c r="E365" i="7" s="1"/>
  <c r="E461" i="7" s="1"/>
  <c r="E557" i="7" s="1"/>
  <c r="E653" i="7" s="1"/>
  <c r="E749" i="7" s="1"/>
  <c r="E845" i="7" s="1"/>
  <c r="E941" i="7" s="1"/>
  <c r="E174" i="7"/>
  <c r="E270" i="7" s="1"/>
  <c r="E366" i="7" s="1"/>
  <c r="E462" i="7" s="1"/>
  <c r="E558" i="7" s="1"/>
  <c r="E654" i="7" s="1"/>
  <c r="E750" i="7" s="1"/>
  <c r="E846" i="7" s="1"/>
  <c r="E942" i="7" s="1"/>
  <c r="E175" i="7"/>
  <c r="E271" i="7" s="1"/>
  <c r="E367" i="7" s="1"/>
  <c r="E463" i="7" s="1"/>
  <c r="E559" i="7" s="1"/>
  <c r="E655" i="7" s="1"/>
  <c r="E751" i="7" s="1"/>
  <c r="E847" i="7" s="1"/>
  <c r="E943" i="7" s="1"/>
  <c r="E177" i="7"/>
  <c r="E273" i="7" s="1"/>
  <c r="E369" i="7" s="1"/>
  <c r="E465" i="7" s="1"/>
  <c r="E561" i="7" s="1"/>
  <c r="E657" i="7" s="1"/>
  <c r="E753" i="7" s="1"/>
  <c r="E849" i="7" s="1"/>
  <c r="E945" i="7" s="1"/>
  <c r="E178" i="7"/>
  <c r="E274" i="7" s="1"/>
  <c r="E370" i="7" s="1"/>
  <c r="E466" i="7" s="1"/>
  <c r="E562" i="7" s="1"/>
  <c r="E658" i="7" s="1"/>
  <c r="E754" i="7" s="1"/>
  <c r="E850" i="7" s="1"/>
  <c r="E946" i="7" s="1"/>
  <c r="E179" i="7"/>
  <c r="E275" i="7" s="1"/>
  <c r="E371" i="7" s="1"/>
  <c r="E467" i="7" s="1"/>
  <c r="E563" i="7" s="1"/>
  <c r="E659" i="7" s="1"/>
  <c r="E755" i="7" s="1"/>
  <c r="E851" i="7" s="1"/>
  <c r="E947" i="7" s="1"/>
  <c r="E181" i="7"/>
  <c r="E277" i="7" s="1"/>
  <c r="E373" i="7" s="1"/>
  <c r="E469" i="7" s="1"/>
  <c r="E565" i="7" s="1"/>
  <c r="E661" i="7" s="1"/>
  <c r="E757" i="7" s="1"/>
  <c r="E853" i="7" s="1"/>
  <c r="E949" i="7" s="1"/>
  <c r="E182" i="7"/>
  <c r="E278" i="7" s="1"/>
  <c r="E374" i="7" s="1"/>
  <c r="E470" i="7" s="1"/>
  <c r="E566" i="7" s="1"/>
  <c r="E662" i="7" s="1"/>
  <c r="E758" i="7" s="1"/>
  <c r="E854" i="7" s="1"/>
  <c r="E950" i="7" s="1"/>
  <c r="E185" i="7"/>
  <c r="E281" i="7" s="1"/>
  <c r="E377" i="7" s="1"/>
  <c r="E473" i="7" s="1"/>
  <c r="E569" i="7" s="1"/>
  <c r="E665" i="7" s="1"/>
  <c r="E761" i="7" s="1"/>
  <c r="E857" i="7" s="1"/>
  <c r="E953" i="7" s="1"/>
  <c r="E186" i="7"/>
  <c r="E282" i="7" s="1"/>
  <c r="E378" i="7" s="1"/>
  <c r="E474" i="7" s="1"/>
  <c r="E570" i="7" s="1"/>
  <c r="E666" i="7" s="1"/>
  <c r="E762" i="7" s="1"/>
  <c r="E858" i="7" s="1"/>
  <c r="E954" i="7" s="1"/>
  <c r="E189" i="7"/>
  <c r="E285" i="7" s="1"/>
  <c r="E381" i="7" s="1"/>
  <c r="E477" i="7" s="1"/>
  <c r="E573" i="7" s="1"/>
  <c r="E669" i="7" s="1"/>
  <c r="E765" i="7" s="1"/>
  <c r="E861" i="7" s="1"/>
  <c r="E957" i="7" s="1"/>
  <c r="E190" i="7"/>
  <c r="E286" i="7" s="1"/>
  <c r="E382" i="7" s="1"/>
  <c r="E478" i="7" s="1"/>
  <c r="E574" i="7" s="1"/>
  <c r="E670" i="7" s="1"/>
  <c r="E766" i="7" s="1"/>
  <c r="E862" i="7" s="1"/>
  <c r="E958" i="7" s="1"/>
  <c r="E191" i="7"/>
  <c r="E287" i="7" s="1"/>
  <c r="E383" i="7" s="1"/>
  <c r="E479" i="7" s="1"/>
  <c r="E575" i="7" s="1"/>
  <c r="E671" i="7" s="1"/>
  <c r="E767" i="7" s="1"/>
  <c r="E863" i="7" s="1"/>
  <c r="E959" i="7" s="1"/>
  <c r="E193" i="7"/>
  <c r="E289" i="7" s="1"/>
  <c r="E385" i="7" s="1"/>
  <c r="E481" i="7" s="1"/>
  <c r="E577" i="7" s="1"/>
  <c r="E673" i="7" s="1"/>
  <c r="E769" i="7" s="1"/>
  <c r="E865" i="7" s="1"/>
  <c r="E961" i="7" s="1"/>
  <c r="E194" i="7"/>
  <c r="E290" i="7" s="1"/>
  <c r="E386" i="7" s="1"/>
  <c r="E482" i="7" s="1"/>
  <c r="E578" i="7" s="1"/>
  <c r="E674" i="7" s="1"/>
  <c r="E770" i="7" s="1"/>
  <c r="E866" i="7" s="1"/>
  <c r="E962" i="7" s="1"/>
  <c r="E195" i="7"/>
  <c r="E291" i="7" s="1"/>
  <c r="E387" i="7" s="1"/>
  <c r="E483" i="7" s="1"/>
  <c r="E100" i="7"/>
  <c r="E196" i="7" s="1"/>
  <c r="E292" i="7" s="1"/>
  <c r="E388" i="7" s="1"/>
  <c r="E484" i="7" s="1"/>
  <c r="E580" i="7" s="1"/>
  <c r="E676" i="7" s="1"/>
  <c r="E772" i="7" s="1"/>
  <c r="E868" i="7" s="1"/>
  <c r="E41" i="13" l="1"/>
  <c r="E49" i="13" s="1"/>
  <c r="H21" i="15"/>
  <c r="E43" i="6"/>
  <c r="E25" i="12" s="1"/>
  <c r="R11" i="12" s="1"/>
  <c r="D35" i="12"/>
  <c r="J21" i="13"/>
  <c r="K26" i="13"/>
  <c r="AD18" i="12"/>
  <c r="AD28" i="12"/>
  <c r="AT17" i="12"/>
  <c r="AM17" i="12" s="1"/>
  <c r="AJ17" i="12"/>
  <c r="W39" i="12"/>
  <c r="AT25" i="12"/>
  <c r="AM25" i="12" s="1"/>
  <c r="AJ25" i="12"/>
  <c r="P12" i="12"/>
  <c r="W11" i="12"/>
  <c r="P20" i="12"/>
  <c r="P40" i="12"/>
  <c r="W29" i="12"/>
  <c r="AT36" i="12"/>
  <c r="AM36" i="12" s="1"/>
  <c r="AJ36" i="12"/>
  <c r="AD37" i="12"/>
  <c r="P30" i="12"/>
  <c r="W19" i="12"/>
  <c r="AT9" i="12"/>
  <c r="AM9" i="12" s="1"/>
  <c r="AJ9" i="12"/>
  <c r="AD10" i="12"/>
  <c r="D21" i="6"/>
  <c r="D18" i="12" s="1"/>
  <c r="AJ5" i="6"/>
  <c r="AJ13" i="6"/>
  <c r="AJ4" i="6"/>
  <c r="D15" i="6"/>
  <c r="D15" i="12" s="1"/>
  <c r="P14" i="6"/>
  <c r="P6" i="6"/>
  <c r="P31" i="6"/>
  <c r="W22" i="6"/>
  <c r="AD22" i="6" s="1"/>
  <c r="AT22" i="6" s="1"/>
  <c r="G53" i="4"/>
  <c r="F28" i="6"/>
  <c r="P15" i="6"/>
  <c r="I37" i="6"/>
  <c r="L13" i="6"/>
  <c r="L14" i="6" s="1"/>
  <c r="D19" i="6" s="1"/>
  <c r="D53" i="12" s="1"/>
  <c r="E579" i="7"/>
  <c r="E675" i="7" s="1"/>
  <c r="E771" i="7" s="1"/>
  <c r="E867" i="7" s="1"/>
  <c r="E963" i="7" s="1"/>
  <c r="J49" i="4"/>
  <c r="J44" i="4"/>
  <c r="J48" i="4"/>
  <c r="J43" i="4"/>
  <c r="J47" i="4"/>
  <c r="J41" i="4"/>
  <c r="G49" i="4"/>
  <c r="J46" i="4"/>
  <c r="L39" i="7"/>
  <c r="L51" i="7" s="1"/>
  <c r="F35" i="12" l="1"/>
  <c r="AB28" i="12" s="1"/>
  <c r="AH28" i="12" s="1"/>
  <c r="BB37" i="12"/>
  <c r="D38" i="12" s="1"/>
  <c r="R29" i="12"/>
  <c r="D14" i="6"/>
  <c r="D14" i="12" s="1"/>
  <c r="R15" i="6"/>
  <c r="R31" i="6"/>
  <c r="R13" i="6"/>
  <c r="R4" i="6"/>
  <c r="R39" i="12"/>
  <c r="R6" i="6"/>
  <c r="R22" i="6"/>
  <c r="R14" i="6"/>
  <c r="R5" i="6"/>
  <c r="R19" i="12"/>
  <c r="H22" i="15"/>
  <c r="AB4" i="12"/>
  <c r="AB34" i="12"/>
  <c r="AB14" i="12"/>
  <c r="AB5" i="12"/>
  <c r="AB6" i="12"/>
  <c r="AB7" i="12"/>
  <c r="AB16" i="12"/>
  <c r="AB8" i="12"/>
  <c r="AB36" i="12"/>
  <c r="AB17" i="12"/>
  <c r="R34" i="12"/>
  <c r="R23" i="12"/>
  <c r="R15" i="12"/>
  <c r="R36" i="12"/>
  <c r="R44" i="12"/>
  <c r="R35" i="12"/>
  <c r="R9" i="12"/>
  <c r="R22" i="12"/>
  <c r="R14" i="12"/>
  <c r="R6" i="12"/>
  <c r="R24" i="12"/>
  <c r="R8" i="12"/>
  <c r="R25" i="12"/>
  <c r="R17" i="12"/>
  <c r="R4" i="12"/>
  <c r="R5" i="12"/>
  <c r="R7" i="12"/>
  <c r="R16" i="12"/>
  <c r="R13" i="12"/>
  <c r="R10" i="12"/>
  <c r="R28" i="12"/>
  <c r="R37" i="12"/>
  <c r="R18" i="12"/>
  <c r="W12" i="12"/>
  <c r="R12" i="12"/>
  <c r="P21" i="12"/>
  <c r="W30" i="12"/>
  <c r="P41" i="12"/>
  <c r="R30" i="12"/>
  <c r="AT37" i="12"/>
  <c r="AM37" i="12" s="1"/>
  <c r="AJ37" i="12"/>
  <c r="AD39" i="12"/>
  <c r="AT28" i="12"/>
  <c r="AM28" i="12" s="1"/>
  <c r="AJ28" i="12"/>
  <c r="AD29" i="12"/>
  <c r="P31" i="12"/>
  <c r="W20" i="12"/>
  <c r="R20" i="12"/>
  <c r="AT10" i="12"/>
  <c r="AM10" i="12" s="1"/>
  <c r="AJ10" i="12"/>
  <c r="AB19" i="12"/>
  <c r="AD19" i="12"/>
  <c r="W40" i="12"/>
  <c r="R40" i="12"/>
  <c r="AD11" i="12"/>
  <c r="AT18" i="12"/>
  <c r="AM18" i="12" s="1"/>
  <c r="AJ18" i="12"/>
  <c r="AJ22" i="6"/>
  <c r="D33" i="6"/>
  <c r="D41" i="12" s="1"/>
  <c r="AB4" i="6"/>
  <c r="P40" i="6"/>
  <c r="R40" i="6" s="1"/>
  <c r="W31" i="6"/>
  <c r="AD31" i="6" s="1"/>
  <c r="P7" i="6"/>
  <c r="R7" i="6" s="1"/>
  <c r="W6" i="6"/>
  <c r="AD6" i="6" s="1"/>
  <c r="P24" i="6"/>
  <c r="R24" i="6" s="1"/>
  <c r="W15" i="6"/>
  <c r="AD15" i="6" s="1"/>
  <c r="P23" i="6"/>
  <c r="R23" i="6" s="1"/>
  <c r="W14" i="6"/>
  <c r="AD14" i="6" s="1"/>
  <c r="AB14" i="6"/>
  <c r="AF14" i="6" s="1"/>
  <c r="AB5" i="6"/>
  <c r="AF5" i="6" s="1"/>
  <c r="AB31" i="6"/>
  <c r="AF31" i="6" s="1"/>
  <c r="AB15" i="6"/>
  <c r="AF15" i="6" s="1"/>
  <c r="AB22" i="6"/>
  <c r="AF22" i="6" s="1"/>
  <c r="AB13" i="6"/>
  <c r="AF13" i="6" s="1"/>
  <c r="F12" i="4"/>
  <c r="AB39" i="12" l="1"/>
  <c r="AF39" i="12" s="1"/>
  <c r="AB25" i="12"/>
  <c r="AE25" i="12" s="1"/>
  <c r="AB35" i="12"/>
  <c r="AE35" i="12" s="1"/>
  <c r="AB23" i="12"/>
  <c r="AF23" i="12" s="1"/>
  <c r="AB44" i="12"/>
  <c r="AE44" i="12" s="1"/>
  <c r="AB11" i="12"/>
  <c r="AH11" i="12" s="1"/>
  <c r="AB29" i="12"/>
  <c r="AH29" i="12" s="1"/>
  <c r="AB9" i="12"/>
  <c r="AF9" i="12" s="1"/>
  <c r="AB24" i="12"/>
  <c r="AF24" i="12" s="1"/>
  <c r="AB15" i="12"/>
  <c r="AF15" i="12" s="1"/>
  <c r="AB13" i="12"/>
  <c r="AF13" i="12" s="1"/>
  <c r="AB22" i="12"/>
  <c r="AH22" i="12" s="1"/>
  <c r="AI22" i="12" s="1"/>
  <c r="AF28" i="12"/>
  <c r="AE28" i="12"/>
  <c r="AB37" i="12"/>
  <c r="AB18" i="12"/>
  <c r="AB10" i="12"/>
  <c r="H23" i="15"/>
  <c r="AH35" i="12"/>
  <c r="AI35" i="12" s="1"/>
  <c r="AF35" i="12"/>
  <c r="AH44" i="12"/>
  <c r="AI44" i="12" s="1"/>
  <c r="AF44" i="12"/>
  <c r="AE15" i="12"/>
  <c r="AF17" i="12"/>
  <c r="AE17" i="12"/>
  <c r="AH17" i="12"/>
  <c r="AI17" i="12" s="1"/>
  <c r="AK17" i="12" s="1"/>
  <c r="AH8" i="12"/>
  <c r="AI8" i="12" s="1"/>
  <c r="AE8" i="12"/>
  <c r="AF8" i="12"/>
  <c r="AF7" i="12"/>
  <c r="AH7" i="12"/>
  <c r="AI7" i="12" s="1"/>
  <c r="AE7" i="12"/>
  <c r="AH5" i="12"/>
  <c r="AI5" i="12" s="1"/>
  <c r="AF5" i="12"/>
  <c r="AE5" i="12"/>
  <c r="AE34" i="12"/>
  <c r="AH34" i="12"/>
  <c r="AI34" i="12" s="1"/>
  <c r="AF34" i="12"/>
  <c r="AE36" i="12"/>
  <c r="AH36" i="12"/>
  <c r="AI36" i="12" s="1"/>
  <c r="AL36" i="12" s="1"/>
  <c r="AF36" i="12"/>
  <c r="AE16" i="12"/>
  <c r="AH16" i="12"/>
  <c r="AI16" i="12" s="1"/>
  <c r="AF16" i="12"/>
  <c r="AH6" i="12"/>
  <c r="AI6" i="12" s="1"/>
  <c r="AF6" i="12"/>
  <c r="AE6" i="12"/>
  <c r="AF14" i="12"/>
  <c r="AE14" i="12"/>
  <c r="AH14" i="12"/>
  <c r="AI14" i="12" s="1"/>
  <c r="AF4" i="12"/>
  <c r="AH4" i="12"/>
  <c r="AI4" i="12" s="1"/>
  <c r="AE4" i="12"/>
  <c r="W41" i="12"/>
  <c r="R41" i="12"/>
  <c r="AT11" i="12"/>
  <c r="AM11" i="12" s="1"/>
  <c r="AJ11" i="12"/>
  <c r="AT29" i="12"/>
  <c r="AM29" i="12" s="1"/>
  <c r="AJ29" i="12"/>
  <c r="AD30" i="12"/>
  <c r="AB30" i="12"/>
  <c r="AI28" i="12"/>
  <c r="AF11" i="12"/>
  <c r="AH19" i="12"/>
  <c r="AF19" i="12"/>
  <c r="AE19" i="12"/>
  <c r="AT39" i="12"/>
  <c r="AM39" i="12" s="1"/>
  <c r="AJ39" i="12"/>
  <c r="AD12" i="12"/>
  <c r="AB12" i="12"/>
  <c r="W31" i="12"/>
  <c r="P42" i="12"/>
  <c r="R31" i="12"/>
  <c r="P33" i="12"/>
  <c r="R21" i="12"/>
  <c r="W21" i="12"/>
  <c r="AD40" i="12"/>
  <c r="AB40" i="12"/>
  <c r="AT19" i="12"/>
  <c r="AM19" i="12" s="1"/>
  <c r="AJ19" i="12"/>
  <c r="AB20" i="12"/>
  <c r="AD20" i="12"/>
  <c r="AH39" i="12"/>
  <c r="AT14" i="6"/>
  <c r="AJ14" i="6"/>
  <c r="AT6" i="6"/>
  <c r="AJ6" i="6"/>
  <c r="AT15" i="6"/>
  <c r="AJ15" i="6"/>
  <c r="AT31" i="6"/>
  <c r="AJ31" i="6"/>
  <c r="AH4" i="6"/>
  <c r="AI4" i="6" s="1"/>
  <c r="AF4" i="6"/>
  <c r="P8" i="6"/>
  <c r="R8" i="6" s="1"/>
  <c r="W7" i="6"/>
  <c r="P16" i="6"/>
  <c r="R16" i="6" s="1"/>
  <c r="AB6" i="6"/>
  <c r="P32" i="6"/>
  <c r="R32" i="6" s="1"/>
  <c r="W23" i="6"/>
  <c r="P33" i="6"/>
  <c r="R33" i="6" s="1"/>
  <c r="W24" i="6"/>
  <c r="W40" i="6"/>
  <c r="AH5" i="6"/>
  <c r="AI5" i="6" s="1"/>
  <c r="AE5" i="6"/>
  <c r="AH22" i="6"/>
  <c r="AI22" i="6" s="1"/>
  <c r="AE22" i="6"/>
  <c r="AH31" i="6"/>
  <c r="AE31" i="6"/>
  <c r="AH15" i="6"/>
  <c r="AE15" i="6"/>
  <c r="AH13" i="6"/>
  <c r="AI13" i="6" s="1"/>
  <c r="AE13" i="6"/>
  <c r="AH14" i="6"/>
  <c r="AE14" i="6"/>
  <c r="AE4" i="6"/>
  <c r="D20" i="4"/>
  <c r="G52" i="4" s="1"/>
  <c r="O7" i="4"/>
  <c r="T26" i="2"/>
  <c r="T25" i="2"/>
  <c r="T24" i="2"/>
  <c r="T23" i="2"/>
  <c r="T22" i="2"/>
  <c r="AJ11" i="2"/>
  <c r="AB5" i="2"/>
  <c r="AF5" i="2" s="1"/>
  <c r="AJ5" i="2" s="1"/>
  <c r="AF10" i="2"/>
  <c r="AF11" i="2"/>
  <c r="AF7" i="2"/>
  <c r="AF4" i="2"/>
  <c r="AB11" i="2"/>
  <c r="AB10" i="2"/>
  <c r="AJ10" i="2" s="1"/>
  <c r="AB7" i="2"/>
  <c r="AB8" i="2" s="1"/>
  <c r="AB4" i="2"/>
  <c r="AJ4" i="2" s="1"/>
  <c r="Q26" i="2"/>
  <c r="Q42" i="2" s="1"/>
  <c r="D37" i="5"/>
  <c r="E31" i="5"/>
  <c r="E30" i="5"/>
  <c r="E28" i="5" s="1"/>
  <c r="AE24" i="12" l="1"/>
  <c r="AF29" i="12"/>
  <c r="AE13" i="12"/>
  <c r="AH13" i="12"/>
  <c r="AI13" i="12" s="1"/>
  <c r="AL13" i="12" s="1"/>
  <c r="AH9" i="12"/>
  <c r="AI9" i="12" s="1"/>
  <c r="AK9" i="12" s="1"/>
  <c r="AE23" i="12"/>
  <c r="AE29" i="12"/>
  <c r="AF22" i="12"/>
  <c r="AE9" i="12"/>
  <c r="AH23" i="12"/>
  <c r="AI23" i="12" s="1"/>
  <c r="AK23" i="12" s="1"/>
  <c r="AE22" i="12"/>
  <c r="AE11" i="12"/>
  <c r="AH15" i="12"/>
  <c r="AI15" i="12" s="1"/>
  <c r="AK15" i="12" s="1"/>
  <c r="AF25" i="12"/>
  <c r="AE39" i="12"/>
  <c r="AH24" i="12"/>
  <c r="AI24" i="12" s="1"/>
  <c r="AL24" i="12" s="1"/>
  <c r="AH25" i="12"/>
  <c r="AI25" i="12" s="1"/>
  <c r="AK25" i="12" s="1"/>
  <c r="AL17" i="12"/>
  <c r="AN17" i="12" s="1"/>
  <c r="AF10" i="12"/>
  <c r="AH10" i="12"/>
  <c r="AI10" i="12" s="1"/>
  <c r="AK10" i="12" s="1"/>
  <c r="AE10" i="12"/>
  <c r="AF18" i="12"/>
  <c r="AE18" i="12"/>
  <c r="AH18" i="12"/>
  <c r="AI18" i="12" s="1"/>
  <c r="AL18" i="12" s="1"/>
  <c r="AH37" i="12"/>
  <c r="AI37" i="12" s="1"/>
  <c r="AK37" i="12" s="1"/>
  <c r="AF37" i="12"/>
  <c r="AE37" i="12"/>
  <c r="AK36" i="12"/>
  <c r="AO36" i="12" s="1"/>
  <c r="AI29" i="12"/>
  <c r="AL29" i="12" s="1"/>
  <c r="AI39" i="12"/>
  <c r="AL39" i="12" s="1"/>
  <c r="AI11" i="12"/>
  <c r="AK11" i="12" s="1"/>
  <c r="H24" i="15"/>
  <c r="AK4" i="12"/>
  <c r="AL4" i="12"/>
  <c r="AL35" i="12"/>
  <c r="AK35" i="12"/>
  <c r="AK16" i="12"/>
  <c r="AL16" i="12"/>
  <c r="AL7" i="12"/>
  <c r="AK7" i="12"/>
  <c r="AL8" i="12"/>
  <c r="AK8" i="12"/>
  <c r="AL44" i="12"/>
  <c r="AK44" i="12"/>
  <c r="AK14" i="12"/>
  <c r="AL14" i="12"/>
  <c r="AL6" i="12"/>
  <c r="AK6" i="12"/>
  <c r="AK34" i="12"/>
  <c r="AL34" i="12"/>
  <c r="AK5" i="12"/>
  <c r="AL5" i="12"/>
  <c r="AL22" i="12"/>
  <c r="AK22" i="12"/>
  <c r="AI14" i="6"/>
  <c r="AI19" i="12"/>
  <c r="AK19" i="12" s="1"/>
  <c r="AH30" i="12"/>
  <c r="AF30" i="12"/>
  <c r="AE30" i="12"/>
  <c r="AT40" i="12"/>
  <c r="AM40" i="12" s="1"/>
  <c r="AJ40" i="12"/>
  <c r="P43" i="12"/>
  <c r="R33" i="12"/>
  <c r="W33" i="12"/>
  <c r="AT30" i="12"/>
  <c r="AM30" i="12" s="1"/>
  <c r="AJ30" i="12"/>
  <c r="AD41" i="12"/>
  <c r="AB41" i="12"/>
  <c r="AH40" i="12"/>
  <c r="AF40" i="12"/>
  <c r="AE40" i="12"/>
  <c r="AD31" i="12"/>
  <c r="AB31" i="12"/>
  <c r="AT12" i="12"/>
  <c r="AM12" i="12" s="1"/>
  <c r="AJ12" i="12"/>
  <c r="AT20" i="12"/>
  <c r="AM20" i="12" s="1"/>
  <c r="AJ20" i="12"/>
  <c r="AH20" i="12"/>
  <c r="AF20" i="12"/>
  <c r="AE20" i="12"/>
  <c r="AD21" i="12"/>
  <c r="AB21" i="12"/>
  <c r="W42" i="12"/>
  <c r="R42" i="12"/>
  <c r="AF12" i="12"/>
  <c r="AE12" i="12"/>
  <c r="AH12" i="12"/>
  <c r="AK28" i="12"/>
  <c r="AL28" i="12"/>
  <c r="AI31" i="6"/>
  <c r="AI15" i="6"/>
  <c r="AE6" i="6"/>
  <c r="AF6" i="6"/>
  <c r="AH6" i="6"/>
  <c r="AI6" i="6" s="1"/>
  <c r="AD40" i="6"/>
  <c r="AB40" i="6"/>
  <c r="AF40" i="6" s="1"/>
  <c r="AD23" i="6"/>
  <c r="AB23" i="6"/>
  <c r="AF23" i="6" s="1"/>
  <c r="AD24" i="6"/>
  <c r="AB24" i="6"/>
  <c r="AF24" i="6" s="1"/>
  <c r="W32" i="6"/>
  <c r="AD7" i="6"/>
  <c r="AB7" i="6"/>
  <c r="AF7" i="6" s="1"/>
  <c r="P25" i="6"/>
  <c r="R25" i="6" s="1"/>
  <c r="W16" i="6"/>
  <c r="W33" i="6"/>
  <c r="P9" i="6"/>
  <c r="R9" i="6" s="1"/>
  <c r="W8" i="6"/>
  <c r="P17" i="6"/>
  <c r="R17" i="6" s="1"/>
  <c r="AF8" i="2"/>
  <c r="AJ7" i="2" s="1"/>
  <c r="AJ8" i="2" s="1"/>
  <c r="J50" i="2"/>
  <c r="D14" i="4" s="1"/>
  <c r="K50" i="2"/>
  <c r="G44" i="2"/>
  <c r="G52" i="2" s="1"/>
  <c r="F33" i="2"/>
  <c r="J7" i="4" s="1"/>
  <c r="E13" i="2"/>
  <c r="F27" i="2"/>
  <c r="J6" i="4" s="1"/>
  <c r="E21" i="2"/>
  <c r="E19" i="2"/>
  <c r="L7" i="6"/>
  <c r="L15" i="6" s="1"/>
  <c r="L20" i="6" s="1"/>
  <c r="AK13" i="12" l="1"/>
  <c r="AL25" i="12"/>
  <c r="AO25" i="12" s="1"/>
  <c r="AK24" i="12"/>
  <c r="AO24" i="12" s="1"/>
  <c r="AL9" i="12"/>
  <c r="AO9" i="12" s="1"/>
  <c r="AL23" i="12"/>
  <c r="AN23" i="12" s="1"/>
  <c r="AL15" i="12"/>
  <c r="AN15" i="12" s="1"/>
  <c r="AK29" i="12"/>
  <c r="AO29" i="12" s="1"/>
  <c r="AL10" i="12"/>
  <c r="AO10" i="12" s="1"/>
  <c r="AO17" i="12"/>
  <c r="AN25" i="12"/>
  <c r="L27" i="2"/>
  <c r="E5" i="15"/>
  <c r="E5" i="14"/>
  <c r="O12" i="4"/>
  <c r="AK18" i="12"/>
  <c r="AO18" i="12" s="1"/>
  <c r="AN36" i="12"/>
  <c r="AL37" i="12"/>
  <c r="AN37" i="12" s="1"/>
  <c r="H27" i="2"/>
  <c r="G50" i="4"/>
  <c r="AK39" i="12"/>
  <c r="AN39" i="12" s="1"/>
  <c r="AL11" i="12"/>
  <c r="AO11" i="12" s="1"/>
  <c r="H25" i="15"/>
  <c r="AN5" i="12"/>
  <c r="AO6" i="12"/>
  <c r="AN14" i="12"/>
  <c r="AO44" i="12"/>
  <c r="AN13" i="12"/>
  <c r="AO7" i="12"/>
  <c r="AO35" i="12"/>
  <c r="AO4" i="12"/>
  <c r="AO22" i="12"/>
  <c r="AN34" i="12"/>
  <c r="AO8" i="12"/>
  <c r="AN16" i="12"/>
  <c r="AN4" i="12"/>
  <c r="P11" i="2"/>
  <c r="G35" i="4" s="1"/>
  <c r="E7" i="14"/>
  <c r="AO5" i="12"/>
  <c r="AN6" i="12"/>
  <c r="AO14" i="12"/>
  <c r="AN44" i="12"/>
  <c r="AO13" i="12"/>
  <c r="AN7" i="12"/>
  <c r="AN35" i="12"/>
  <c r="AN22" i="12"/>
  <c r="AO34" i="12"/>
  <c r="AN24" i="12"/>
  <c r="AN8" i="12"/>
  <c r="AO16" i="12"/>
  <c r="AL19" i="12"/>
  <c r="AO19" i="12" s="1"/>
  <c r="AI20" i="12"/>
  <c r="AK20" i="12" s="1"/>
  <c r="AI40" i="12"/>
  <c r="AK40" i="12" s="1"/>
  <c r="AI30" i="12"/>
  <c r="AL30" i="12" s="1"/>
  <c r="AI12" i="12"/>
  <c r="AK12" i="12" s="1"/>
  <c r="AN28" i="12"/>
  <c r="E25" i="6"/>
  <c r="E31" i="12"/>
  <c r="AH31" i="12"/>
  <c r="AF31" i="12"/>
  <c r="AE31" i="12"/>
  <c r="AT31" i="12"/>
  <c r="AM31" i="12" s="1"/>
  <c r="AJ31" i="12"/>
  <c r="AT41" i="12"/>
  <c r="AM41" i="12" s="1"/>
  <c r="AJ41" i="12"/>
  <c r="W43" i="12"/>
  <c r="R43" i="12"/>
  <c r="AF41" i="12"/>
  <c r="AE41" i="12"/>
  <c r="AH41" i="12"/>
  <c r="AO28" i="12"/>
  <c r="AD42" i="12"/>
  <c r="AB42" i="12"/>
  <c r="AT21" i="12"/>
  <c r="AM21" i="12" s="1"/>
  <c r="AJ21" i="12"/>
  <c r="AF21" i="12"/>
  <c r="AH21" i="12"/>
  <c r="AE21" i="12"/>
  <c r="AD33" i="12"/>
  <c r="AB33" i="12"/>
  <c r="L33" i="2"/>
  <c r="P8" i="2" s="1"/>
  <c r="G40" i="4" s="1"/>
  <c r="AF3" i="2"/>
  <c r="O11" i="4"/>
  <c r="AF14" i="2"/>
  <c r="AT24" i="6"/>
  <c r="AJ24" i="6"/>
  <c r="AT40" i="6"/>
  <c r="AJ40" i="6"/>
  <c r="AT7" i="6"/>
  <c r="AJ7" i="6"/>
  <c r="AT23" i="6"/>
  <c r="AJ23" i="6"/>
  <c r="P10" i="6"/>
  <c r="R10" i="6" s="1"/>
  <c r="W9" i="6"/>
  <c r="P18" i="6"/>
  <c r="R18" i="6" s="1"/>
  <c r="AD16" i="6"/>
  <c r="AB16" i="6"/>
  <c r="AF16" i="6" s="1"/>
  <c r="AE23" i="6"/>
  <c r="AH23" i="6"/>
  <c r="P26" i="6"/>
  <c r="R26" i="6" s="1"/>
  <c r="W17" i="6"/>
  <c r="AD33" i="6"/>
  <c r="AB33" i="6"/>
  <c r="AF33" i="6" s="1"/>
  <c r="P34" i="6"/>
  <c r="R34" i="6" s="1"/>
  <c r="W25" i="6"/>
  <c r="AD32" i="6"/>
  <c r="AB32" i="6"/>
  <c r="AF32" i="6" s="1"/>
  <c r="AH7" i="6"/>
  <c r="AE7" i="6"/>
  <c r="AH24" i="6"/>
  <c r="AE24" i="6"/>
  <c r="AH40" i="6"/>
  <c r="AE40" i="6"/>
  <c r="AD8" i="6"/>
  <c r="AB8" i="6"/>
  <c r="AF8" i="6" s="1"/>
  <c r="G14" i="4"/>
  <c r="H45" i="2"/>
  <c r="H51" i="2" s="1"/>
  <c r="H53" i="2" s="1"/>
  <c r="I45" i="2"/>
  <c r="I51" i="2" s="1"/>
  <c r="I53" i="2" s="1"/>
  <c r="F36" i="2"/>
  <c r="AN29" i="12" l="1"/>
  <c r="AN10" i="12"/>
  <c r="AN9" i="12"/>
  <c r="AO23" i="12"/>
  <c r="AO15" i="12"/>
  <c r="AN18" i="12"/>
  <c r="AO37" i="12"/>
  <c r="I5" i="15"/>
  <c r="L5" i="15" s="1"/>
  <c r="I11" i="15"/>
  <c r="I12" i="15"/>
  <c r="I9" i="15"/>
  <c r="I7" i="15"/>
  <c r="I6" i="15"/>
  <c r="I8" i="15"/>
  <c r="I10" i="15"/>
  <c r="I13" i="15"/>
  <c r="I14" i="15"/>
  <c r="I15" i="15"/>
  <c r="I16" i="15"/>
  <c r="I17" i="15"/>
  <c r="I18" i="15"/>
  <c r="I19" i="15"/>
  <c r="I20" i="15"/>
  <c r="I21" i="15"/>
  <c r="I22" i="15"/>
  <c r="I23" i="15"/>
  <c r="I24" i="15"/>
  <c r="I7" i="14"/>
  <c r="I138" i="14"/>
  <c r="I90" i="14"/>
  <c r="I42" i="14"/>
  <c r="I173" i="14"/>
  <c r="I157" i="14"/>
  <c r="I141" i="14"/>
  <c r="I125" i="14"/>
  <c r="I109" i="14"/>
  <c r="I93" i="14"/>
  <c r="I77" i="14"/>
  <c r="I61" i="14"/>
  <c r="I45" i="14"/>
  <c r="I29" i="14"/>
  <c r="I13" i="14"/>
  <c r="I158" i="14"/>
  <c r="I110" i="14"/>
  <c r="I184" i="14"/>
  <c r="I168" i="14"/>
  <c r="I152" i="14"/>
  <c r="I136" i="14"/>
  <c r="I120" i="14"/>
  <c r="I104" i="14"/>
  <c r="I88" i="14"/>
  <c r="I72" i="14"/>
  <c r="I56" i="14"/>
  <c r="I40" i="14"/>
  <c r="I24" i="14"/>
  <c r="I8" i="14"/>
  <c r="I150" i="14"/>
  <c r="I106" i="14"/>
  <c r="I66" i="14"/>
  <c r="I38" i="14"/>
  <c r="I22" i="14"/>
  <c r="I6" i="14"/>
  <c r="I171" i="14"/>
  <c r="I155" i="14"/>
  <c r="I139" i="14"/>
  <c r="I123" i="14"/>
  <c r="I107" i="14"/>
  <c r="I91" i="14"/>
  <c r="I75" i="14"/>
  <c r="I59" i="14"/>
  <c r="I43" i="14"/>
  <c r="I27" i="14"/>
  <c r="I11" i="14"/>
  <c r="I114" i="14"/>
  <c r="I165" i="14"/>
  <c r="I133" i="14"/>
  <c r="I101" i="14"/>
  <c r="I69" i="14"/>
  <c r="I37" i="14"/>
  <c r="I182" i="14"/>
  <c r="I82" i="14"/>
  <c r="I160" i="14"/>
  <c r="I128" i="14"/>
  <c r="I96" i="14"/>
  <c r="I64" i="14"/>
  <c r="I32" i="14"/>
  <c r="I174" i="14"/>
  <c r="I86" i="14"/>
  <c r="I30" i="14"/>
  <c r="I179" i="14"/>
  <c r="I147" i="14"/>
  <c r="I115" i="14"/>
  <c r="I83" i="14"/>
  <c r="I51" i="14"/>
  <c r="I19" i="14"/>
  <c r="I154" i="14"/>
  <c r="I62" i="14"/>
  <c r="I161" i="14"/>
  <c r="I145" i="14"/>
  <c r="I113" i="14"/>
  <c r="I81" i="14"/>
  <c r="I49" i="14"/>
  <c r="I17" i="14"/>
  <c r="I50" i="14"/>
  <c r="I156" i="14"/>
  <c r="I124" i="14"/>
  <c r="I92" i="14"/>
  <c r="I60" i="14"/>
  <c r="I178" i="14"/>
  <c r="I126" i="14"/>
  <c r="I78" i="14"/>
  <c r="I185" i="14"/>
  <c r="I169" i="14"/>
  <c r="I153" i="14"/>
  <c r="I137" i="14"/>
  <c r="I121" i="14"/>
  <c r="I105" i="14"/>
  <c r="I89" i="14"/>
  <c r="I73" i="14"/>
  <c r="I57" i="14"/>
  <c r="I41" i="14"/>
  <c r="I25" i="14"/>
  <c r="I9" i="14"/>
  <c r="I146" i="14"/>
  <c r="I98" i="14"/>
  <c r="I180" i="14"/>
  <c r="I164" i="14"/>
  <c r="I148" i="14"/>
  <c r="I132" i="14"/>
  <c r="I116" i="14"/>
  <c r="I100" i="14"/>
  <c r="I84" i="14"/>
  <c r="I68" i="14"/>
  <c r="I52" i="14"/>
  <c r="I36" i="14"/>
  <c r="I20" i="14"/>
  <c r="I5" i="14"/>
  <c r="L5" i="14" s="1"/>
  <c r="K5" i="14" s="1"/>
  <c r="M5" i="14" s="1"/>
  <c r="N5" i="14" s="1"/>
  <c r="L6" i="14" s="1"/>
  <c r="K6" i="14" s="1"/>
  <c r="M6" i="14" s="1"/>
  <c r="N6" i="14" s="1"/>
  <c r="I142" i="14"/>
  <c r="I94" i="14"/>
  <c r="I58" i="14"/>
  <c r="I34" i="14"/>
  <c r="I18" i="14"/>
  <c r="I183" i="14"/>
  <c r="I167" i="14"/>
  <c r="I151" i="14"/>
  <c r="I135" i="14"/>
  <c r="I119" i="14"/>
  <c r="I103" i="14"/>
  <c r="I87" i="14"/>
  <c r="I71" i="14"/>
  <c r="I55" i="14"/>
  <c r="I39" i="14"/>
  <c r="I23" i="14"/>
  <c r="I162" i="14"/>
  <c r="I70" i="14"/>
  <c r="I181" i="14"/>
  <c r="I149" i="14"/>
  <c r="I117" i="14"/>
  <c r="I85" i="14"/>
  <c r="I53" i="14"/>
  <c r="I21" i="14"/>
  <c r="I134" i="14"/>
  <c r="I176" i="14"/>
  <c r="I144" i="14"/>
  <c r="I112" i="14"/>
  <c r="I80" i="14"/>
  <c r="I48" i="14"/>
  <c r="I16" i="14"/>
  <c r="I130" i="14"/>
  <c r="I54" i="14"/>
  <c r="I14" i="14"/>
  <c r="I163" i="14"/>
  <c r="I131" i="14"/>
  <c r="I99" i="14"/>
  <c r="I67" i="14"/>
  <c r="I35" i="14"/>
  <c r="I102" i="14"/>
  <c r="I177" i="14"/>
  <c r="I129" i="14"/>
  <c r="I97" i="14"/>
  <c r="I65" i="14"/>
  <c r="I33" i="14"/>
  <c r="I170" i="14"/>
  <c r="I122" i="14"/>
  <c r="I172" i="14"/>
  <c r="I140" i="14"/>
  <c r="I108" i="14"/>
  <c r="I76" i="14"/>
  <c r="I44" i="14"/>
  <c r="I118" i="14"/>
  <c r="I10" i="14"/>
  <c r="I127" i="14"/>
  <c r="I63" i="14"/>
  <c r="I28" i="14"/>
  <c r="I74" i="14"/>
  <c r="I175" i="14"/>
  <c r="I111" i="14"/>
  <c r="I47" i="14"/>
  <c r="I12" i="14"/>
  <c r="I159" i="14"/>
  <c r="I26" i="14"/>
  <c r="I79" i="14"/>
  <c r="I46" i="14"/>
  <c r="I95" i="14"/>
  <c r="I31" i="14"/>
  <c r="I166" i="14"/>
  <c r="I143" i="14"/>
  <c r="I15" i="14"/>
  <c r="AO39" i="12"/>
  <c r="AN11" i="12"/>
  <c r="AL20" i="12"/>
  <c r="AO20" i="12" s="1"/>
  <c r="AI40" i="6"/>
  <c r="AI21" i="12"/>
  <c r="AL21" i="12" s="1"/>
  <c r="H26" i="15"/>
  <c r="I25" i="15"/>
  <c r="AN19" i="12"/>
  <c r="AL40" i="12"/>
  <c r="AO40" i="12" s="1"/>
  <c r="AK30" i="12"/>
  <c r="AO30" i="12" s="1"/>
  <c r="AL12" i="12"/>
  <c r="AO12" i="12" s="1"/>
  <c r="AI41" i="12"/>
  <c r="AK41" i="12" s="1"/>
  <c r="AH33" i="12"/>
  <c r="AF33" i="12"/>
  <c r="AE33" i="12"/>
  <c r="AT42" i="12"/>
  <c r="AM42" i="12" s="1"/>
  <c r="AJ42" i="12"/>
  <c r="AT33" i="12"/>
  <c r="AM33" i="12" s="1"/>
  <c r="AJ33" i="12"/>
  <c r="AE42" i="12"/>
  <c r="AH42" i="12"/>
  <c r="AF42" i="12"/>
  <c r="AD43" i="12"/>
  <c r="AB43" i="12"/>
  <c r="AI31" i="12"/>
  <c r="AI24" i="6"/>
  <c r="AI7" i="6"/>
  <c r="AI23" i="6"/>
  <c r="AT32" i="6"/>
  <c r="AJ32" i="6"/>
  <c r="AT33" i="6"/>
  <c r="AJ33" i="6"/>
  <c r="AT16" i="6"/>
  <c r="AJ16" i="6"/>
  <c r="AT8" i="6"/>
  <c r="AJ8" i="6"/>
  <c r="AD25" i="6"/>
  <c r="AB25" i="6"/>
  <c r="AF25" i="6" s="1"/>
  <c r="AE33" i="6"/>
  <c r="AH33" i="6"/>
  <c r="P35" i="6"/>
  <c r="R35" i="6" s="1"/>
  <c r="W26" i="6"/>
  <c r="AH16" i="6"/>
  <c r="AE16" i="6"/>
  <c r="AD9" i="6"/>
  <c r="AB9" i="6"/>
  <c r="AF9" i="6" s="1"/>
  <c r="AE32" i="6"/>
  <c r="AH32" i="6"/>
  <c r="W34" i="6"/>
  <c r="AD17" i="6"/>
  <c r="AB17" i="6"/>
  <c r="AF17" i="6" s="1"/>
  <c r="P27" i="6"/>
  <c r="R27" i="6" s="1"/>
  <c r="W18" i="6"/>
  <c r="AH8" i="6"/>
  <c r="AE8" i="6"/>
  <c r="P11" i="6"/>
  <c r="R11" i="6" s="1"/>
  <c r="W10" i="6"/>
  <c r="P19" i="6"/>
  <c r="R19" i="6" s="1"/>
  <c r="G33" i="2"/>
  <c r="K53" i="2"/>
  <c r="L7" i="14" l="1"/>
  <c r="K5" i="15"/>
  <c r="M5" i="15" s="1"/>
  <c r="N5" i="15" s="1"/>
  <c r="L6" i="15" s="1"/>
  <c r="K6" i="15" s="1"/>
  <c r="M6" i="15" s="1"/>
  <c r="N6" i="15" s="1"/>
  <c r="L7" i="15" s="1"/>
  <c r="K7" i="15" s="1"/>
  <c r="M7" i="15" s="1"/>
  <c r="N7" i="15" s="1"/>
  <c r="L8" i="15" s="1"/>
  <c r="K8" i="15" s="1"/>
  <c r="M8" i="15" s="1"/>
  <c r="N8" i="15" s="1"/>
  <c r="L9" i="15" s="1"/>
  <c r="K9" i="15" s="1"/>
  <c r="M9" i="15" s="1"/>
  <c r="N9" i="15" s="1"/>
  <c r="L10" i="15" s="1"/>
  <c r="K10" i="15" s="1"/>
  <c r="M10" i="15" s="1"/>
  <c r="N10" i="15" s="1"/>
  <c r="L11" i="15" s="1"/>
  <c r="K11" i="15" s="1"/>
  <c r="M11" i="15" s="1"/>
  <c r="N11" i="15" s="1"/>
  <c r="L12" i="15" s="1"/>
  <c r="K12" i="15" s="1"/>
  <c r="M12" i="15" s="1"/>
  <c r="N12" i="15" s="1"/>
  <c r="L13" i="15" s="1"/>
  <c r="K13" i="15" s="1"/>
  <c r="M13" i="15" s="1"/>
  <c r="N13" i="15" s="1"/>
  <c r="L14" i="15" s="1"/>
  <c r="K14" i="15" s="1"/>
  <c r="M14" i="15" s="1"/>
  <c r="N14" i="15" s="1"/>
  <c r="L15" i="15" s="1"/>
  <c r="K15" i="15" s="1"/>
  <c r="M15" i="15" s="1"/>
  <c r="N15" i="15" s="1"/>
  <c r="L16" i="15" s="1"/>
  <c r="K16" i="15" s="1"/>
  <c r="M16" i="15" s="1"/>
  <c r="N16" i="15" s="1"/>
  <c r="L17" i="15" s="1"/>
  <c r="K17" i="15" s="1"/>
  <c r="M17" i="15" s="1"/>
  <c r="N17" i="15" s="1"/>
  <c r="L18" i="15" s="1"/>
  <c r="K18" i="15" s="1"/>
  <c r="M18" i="15" s="1"/>
  <c r="N18" i="15" s="1"/>
  <c r="L19" i="15" s="1"/>
  <c r="K19" i="15" s="1"/>
  <c r="M19" i="15" s="1"/>
  <c r="N19" i="15" s="1"/>
  <c r="L20" i="15" s="1"/>
  <c r="AN20" i="12"/>
  <c r="AK21" i="12"/>
  <c r="AN21" i="12" s="1"/>
  <c r="AN40" i="12"/>
  <c r="H27" i="15"/>
  <c r="I26" i="15"/>
  <c r="K7" i="14"/>
  <c r="M7" i="14" s="1"/>
  <c r="N7" i="14" s="1"/>
  <c r="L8" i="14" s="1"/>
  <c r="K8" i="14" s="1"/>
  <c r="M8" i="14" s="1"/>
  <c r="N8" i="14" s="1"/>
  <c r="L9" i="14" s="1"/>
  <c r="K9" i="14" s="1"/>
  <c r="M9" i="14" s="1"/>
  <c r="N9" i="14" s="1"/>
  <c r="L10" i="14" s="1"/>
  <c r="K10" i="14" s="1"/>
  <c r="M10" i="14" s="1"/>
  <c r="N10" i="14" s="1"/>
  <c r="L11" i="14" s="1"/>
  <c r="K11" i="14" s="1"/>
  <c r="M11" i="14" s="1"/>
  <c r="N11" i="14" s="1"/>
  <c r="L12" i="14" s="1"/>
  <c r="K12" i="14" s="1"/>
  <c r="M12" i="14" s="1"/>
  <c r="N12" i="14" s="1"/>
  <c r="L13" i="14" s="1"/>
  <c r="K13" i="14" s="1"/>
  <c r="M13" i="14" s="1"/>
  <c r="N13" i="14" s="1"/>
  <c r="L14" i="14" s="1"/>
  <c r="AN30" i="12"/>
  <c r="AL41" i="12"/>
  <c r="AN41" i="12" s="1"/>
  <c r="AI33" i="12"/>
  <c r="AK33" i="12" s="1"/>
  <c r="AN12" i="12"/>
  <c r="AE43" i="12"/>
  <c r="AH43" i="12"/>
  <c r="AF43" i="12"/>
  <c r="AL31" i="12"/>
  <c r="AK31" i="12"/>
  <c r="AT43" i="12"/>
  <c r="AM43" i="12" s="1"/>
  <c r="AJ43" i="12"/>
  <c r="AI42" i="12"/>
  <c r="AI32" i="6"/>
  <c r="AI16" i="6"/>
  <c r="AI8" i="6"/>
  <c r="AI33" i="6"/>
  <c r="AT17" i="6"/>
  <c r="AJ17" i="6"/>
  <c r="AT9" i="6"/>
  <c r="AJ9" i="6"/>
  <c r="AT25" i="6"/>
  <c r="AJ25" i="6"/>
  <c r="AD26" i="6"/>
  <c r="AB26" i="6"/>
  <c r="AF26" i="6" s="1"/>
  <c r="P28" i="6"/>
  <c r="R28" i="6" s="1"/>
  <c r="W19" i="6"/>
  <c r="AD18" i="6"/>
  <c r="AB18" i="6"/>
  <c r="AF18" i="6" s="1"/>
  <c r="W35" i="6"/>
  <c r="AD10" i="6"/>
  <c r="AB10" i="6"/>
  <c r="AF10" i="6" s="1"/>
  <c r="AE17" i="6"/>
  <c r="AH17" i="6"/>
  <c r="AE25" i="6"/>
  <c r="AH25" i="6"/>
  <c r="P12" i="6"/>
  <c r="R12" i="6" s="1"/>
  <c r="W11" i="6"/>
  <c r="P20" i="6"/>
  <c r="R20" i="6" s="1"/>
  <c r="P36" i="6"/>
  <c r="R36" i="6" s="1"/>
  <c r="W27" i="6"/>
  <c r="AD34" i="6"/>
  <c r="AB34" i="6"/>
  <c r="AF34" i="6" s="1"/>
  <c r="AE9" i="6"/>
  <c r="AH9" i="6"/>
  <c r="Q22" i="2"/>
  <c r="Q32" i="2" s="1"/>
  <c r="E18" i="5"/>
  <c r="F19" i="5" s="1"/>
  <c r="AO21" i="12" l="1"/>
  <c r="K20" i="15"/>
  <c r="M20" i="15" s="1"/>
  <c r="N20" i="15" s="1"/>
  <c r="L21" i="15" s="1"/>
  <c r="H28" i="15"/>
  <c r="I27" i="15"/>
  <c r="K14" i="14"/>
  <c r="M14" i="14" s="1"/>
  <c r="N14" i="14" s="1"/>
  <c r="L15" i="14" s="1"/>
  <c r="V31" i="2"/>
  <c r="AF9" i="2" s="1"/>
  <c r="AB9" i="2"/>
  <c r="AJ9" i="2" s="1"/>
  <c r="AJ15" i="2" s="1"/>
  <c r="AL33" i="12"/>
  <c r="AN33" i="12" s="1"/>
  <c r="AO41" i="12"/>
  <c r="AO31" i="12"/>
  <c r="AI43" i="12"/>
  <c r="AL42" i="12"/>
  <c r="AK42" i="12"/>
  <c r="AN31" i="12"/>
  <c r="AI17" i="6"/>
  <c r="AI9" i="6"/>
  <c r="AI25" i="6"/>
  <c r="AT18" i="6"/>
  <c r="AJ18" i="6"/>
  <c r="AT26" i="6"/>
  <c r="AJ26" i="6"/>
  <c r="AT10" i="6"/>
  <c r="AJ10" i="6"/>
  <c r="AT34" i="6"/>
  <c r="AJ34" i="6"/>
  <c r="AD35" i="6"/>
  <c r="AB35" i="6"/>
  <c r="AF35" i="6" s="1"/>
  <c r="AD27" i="6"/>
  <c r="AB27" i="6"/>
  <c r="AF27" i="6" s="1"/>
  <c r="AD11" i="6"/>
  <c r="AB11" i="6"/>
  <c r="AF11" i="6" s="1"/>
  <c r="AE10" i="6"/>
  <c r="AH10" i="6"/>
  <c r="AH18" i="6"/>
  <c r="AE18" i="6"/>
  <c r="P37" i="6"/>
  <c r="R37" i="6" s="1"/>
  <c r="W28" i="6"/>
  <c r="AE34" i="6"/>
  <c r="AH34" i="6"/>
  <c r="W36" i="6"/>
  <c r="P21" i="6"/>
  <c r="R21" i="6" s="1"/>
  <c r="W12" i="6"/>
  <c r="AH26" i="6"/>
  <c r="AE26" i="6"/>
  <c r="P29" i="6"/>
  <c r="R29" i="6" s="1"/>
  <c r="W20" i="6"/>
  <c r="AD19" i="6"/>
  <c r="AB19" i="6"/>
  <c r="AF19" i="6" s="1"/>
  <c r="AO33" i="12" l="1"/>
  <c r="K21" i="15"/>
  <c r="M21" i="15" s="1"/>
  <c r="N21" i="15" s="1"/>
  <c r="L22" i="15" s="1"/>
  <c r="H29" i="15"/>
  <c r="I28" i="15"/>
  <c r="K15" i="14"/>
  <c r="M15" i="14" s="1"/>
  <c r="N15" i="14" s="1"/>
  <c r="L16" i="14" s="1"/>
  <c r="AO42" i="12"/>
  <c r="AN42" i="12"/>
  <c r="AL43" i="12"/>
  <c r="AK43" i="12"/>
  <c r="AI10" i="6"/>
  <c r="AT27" i="6"/>
  <c r="AJ27" i="6"/>
  <c r="AI34" i="6"/>
  <c r="AT19" i="6"/>
  <c r="AJ19" i="6"/>
  <c r="AI26" i="6"/>
  <c r="AI18" i="6"/>
  <c r="AT11" i="6"/>
  <c r="AJ11" i="6"/>
  <c r="AT35" i="6"/>
  <c r="AJ35" i="6"/>
  <c r="AE27" i="6"/>
  <c r="AH27" i="6"/>
  <c r="AD12" i="6"/>
  <c r="AB12" i="6"/>
  <c r="AF12" i="6" s="1"/>
  <c r="AD28" i="6"/>
  <c r="AB28" i="6"/>
  <c r="AF28" i="6" s="1"/>
  <c r="AE11" i="6"/>
  <c r="AH11" i="6"/>
  <c r="AH35" i="6"/>
  <c r="AE35" i="6"/>
  <c r="AD36" i="6"/>
  <c r="AB36" i="6"/>
  <c r="AF36" i="6" s="1"/>
  <c r="AD20" i="6"/>
  <c r="AB20" i="6"/>
  <c r="AF20" i="6" s="1"/>
  <c r="AH19" i="6"/>
  <c r="AE19" i="6"/>
  <c r="P38" i="6"/>
  <c r="R38" i="6" s="1"/>
  <c r="W29" i="6"/>
  <c r="P30" i="6"/>
  <c r="R30" i="6" s="1"/>
  <c r="W21" i="6"/>
  <c r="W37" i="6"/>
  <c r="AB15" i="2"/>
  <c r="AF15" i="2"/>
  <c r="AF18" i="2" s="1"/>
  <c r="AF21" i="2" s="1"/>
  <c r="K22" i="15" l="1"/>
  <c r="M22" i="15" s="1"/>
  <c r="N22" i="15" s="1"/>
  <c r="L23" i="15" s="1"/>
  <c r="H30" i="15"/>
  <c r="I29" i="15"/>
  <c r="K16" i="14"/>
  <c r="M16" i="14" s="1"/>
  <c r="N16" i="14" s="1"/>
  <c r="L17" i="14" s="1"/>
  <c r="AO43" i="12"/>
  <c r="AN43" i="12"/>
  <c r="AI11" i="6"/>
  <c r="AI19" i="6"/>
  <c r="AI27" i="6"/>
  <c r="AI35" i="6"/>
  <c r="AT20" i="6"/>
  <c r="AJ20" i="6"/>
  <c r="AT36" i="6"/>
  <c r="AJ36" i="6"/>
  <c r="AT12" i="6"/>
  <c r="AJ12" i="6"/>
  <c r="AT28" i="6"/>
  <c r="AJ28" i="6"/>
  <c r="AH36" i="6"/>
  <c r="AE36" i="6"/>
  <c r="AD29" i="6"/>
  <c r="AB29" i="6"/>
  <c r="AF29" i="6" s="1"/>
  <c r="AD37" i="6"/>
  <c r="AB37" i="6"/>
  <c r="AF37" i="6" s="1"/>
  <c r="P39" i="6"/>
  <c r="R39" i="6" s="1"/>
  <c r="W30" i="6"/>
  <c r="AD21" i="6"/>
  <c r="AB21" i="6"/>
  <c r="AF21" i="6" s="1"/>
  <c r="W38" i="6"/>
  <c r="AH20" i="6"/>
  <c r="AE20" i="6"/>
  <c r="AH28" i="6"/>
  <c r="AE28" i="6"/>
  <c r="AE12" i="6"/>
  <c r="AH12" i="6"/>
  <c r="E33" i="2"/>
  <c r="U15" i="2"/>
  <c r="AF23" i="2"/>
  <c r="AF26" i="2" s="1"/>
  <c r="J33" i="2"/>
  <c r="O15" i="4" s="1"/>
  <c r="K23" i="15" l="1"/>
  <c r="M23" i="15" s="1"/>
  <c r="N23" i="15" s="1"/>
  <c r="L24" i="15" s="1"/>
  <c r="H31" i="15"/>
  <c r="I30" i="15"/>
  <c r="K17" i="14"/>
  <c r="M17" i="14" s="1"/>
  <c r="N17" i="14" s="1"/>
  <c r="L18" i="14" s="1"/>
  <c r="AI20" i="6"/>
  <c r="AI12" i="6"/>
  <c r="AI28" i="6"/>
  <c r="AT29" i="6"/>
  <c r="AJ29" i="6"/>
  <c r="AT21" i="6"/>
  <c r="AJ21" i="6"/>
  <c r="AT37" i="6"/>
  <c r="AJ37" i="6"/>
  <c r="AI36" i="6"/>
  <c r="AD38" i="6"/>
  <c r="AB38" i="6"/>
  <c r="AF38" i="6" s="1"/>
  <c r="W39" i="6"/>
  <c r="AH37" i="6"/>
  <c r="AE37" i="6"/>
  <c r="AE29" i="6"/>
  <c r="AH29" i="6"/>
  <c r="AH21" i="6"/>
  <c r="AE21" i="6"/>
  <c r="AD30" i="6"/>
  <c r="AB30" i="6"/>
  <c r="AF30" i="6" s="1"/>
  <c r="Q33" i="2"/>
  <c r="AF27" i="2"/>
  <c r="D33" i="2" s="1"/>
  <c r="D34" i="2" s="1"/>
  <c r="AF31" i="2"/>
  <c r="AF33" i="2"/>
  <c r="C33" i="2" s="1"/>
  <c r="K24" i="15" l="1"/>
  <c r="M24" i="15" s="1"/>
  <c r="N24" i="15" s="1"/>
  <c r="L25" i="15" s="1"/>
  <c r="H32" i="15"/>
  <c r="I31" i="15"/>
  <c r="K18" i="14"/>
  <c r="M18" i="14" s="1"/>
  <c r="N18" i="14" s="1"/>
  <c r="L19" i="14" s="1"/>
  <c r="F19" i="4"/>
  <c r="L39" i="2"/>
  <c r="I33" i="2"/>
  <c r="E39" i="2" s="1"/>
  <c r="AI29" i="6"/>
  <c r="AI37" i="6"/>
  <c r="AT38" i="6"/>
  <c r="AJ38" i="6"/>
  <c r="AI21" i="6"/>
  <c r="AT30" i="6"/>
  <c r="AJ30" i="6"/>
  <c r="AH30" i="6"/>
  <c r="AE30" i="6"/>
  <c r="AE38" i="6"/>
  <c r="AH38" i="6"/>
  <c r="AD39" i="6"/>
  <c r="AB39" i="6"/>
  <c r="AF39" i="6" s="1"/>
  <c r="F37" i="5"/>
  <c r="Q36" i="2"/>
  <c r="Q41" i="2" s="1"/>
  <c r="Q43" i="2" s="1"/>
  <c r="K25" i="15" l="1"/>
  <c r="M25" i="15" s="1"/>
  <c r="N25" i="15" s="1"/>
  <c r="L26" i="15" s="1"/>
  <c r="H33" i="15"/>
  <c r="I32" i="15"/>
  <c r="K19" i="14"/>
  <c r="M19" i="14" s="1"/>
  <c r="N19" i="14" s="1"/>
  <c r="L20" i="14" s="1"/>
  <c r="AI30" i="6"/>
  <c r="AI38" i="6"/>
  <c r="AT39" i="6"/>
  <c r="AJ39" i="6"/>
  <c r="AE39" i="6"/>
  <c r="AH39" i="6"/>
  <c r="K33" i="2"/>
  <c r="H39" i="2" s="1"/>
  <c r="G43" i="4" s="1"/>
  <c r="J23" i="2"/>
  <c r="K26" i="15" l="1"/>
  <c r="M26" i="15" s="1"/>
  <c r="N26" i="15" s="1"/>
  <c r="L27" i="15" s="1"/>
  <c r="H34" i="15"/>
  <c r="I33" i="15"/>
  <c r="K20" i="14"/>
  <c r="M20" i="14" s="1"/>
  <c r="N20" i="14" s="1"/>
  <c r="L21" i="14" s="1"/>
  <c r="AI39" i="6"/>
  <c r="K27" i="15" l="1"/>
  <c r="M27" i="15" s="1"/>
  <c r="N27" i="15" s="1"/>
  <c r="L28" i="15" s="1"/>
  <c r="H35" i="15"/>
  <c r="I34" i="15"/>
  <c r="K21" i="14"/>
  <c r="M21" i="14" s="1"/>
  <c r="N21" i="14" s="1"/>
  <c r="L22" i="14" s="1"/>
  <c r="K28" i="15" l="1"/>
  <c r="M28" i="15" s="1"/>
  <c r="N28" i="15" s="1"/>
  <c r="L29" i="15" s="1"/>
  <c r="H36" i="15"/>
  <c r="I35" i="15"/>
  <c r="K22" i="14"/>
  <c r="M22" i="14" s="1"/>
  <c r="N22" i="14" s="1"/>
  <c r="L23" i="14" s="1"/>
  <c r="AK29" i="6"/>
  <c r="AL29" i="6"/>
  <c r="AL19" i="6"/>
  <c r="AK19" i="6"/>
  <c r="AL11" i="6"/>
  <c r="AK11" i="6"/>
  <c r="AK23" i="6"/>
  <c r="AL23" i="6"/>
  <c r="AL21" i="6"/>
  <c r="AK21" i="6"/>
  <c r="AK15" i="6"/>
  <c r="AL15" i="6"/>
  <c r="AK12" i="6"/>
  <c r="AL12" i="6"/>
  <c r="AK8" i="6"/>
  <c r="AL8" i="6"/>
  <c r="AK40" i="6"/>
  <c r="AL40" i="6"/>
  <c r="AL13" i="6"/>
  <c r="AK13" i="6"/>
  <c r="AK36" i="6"/>
  <c r="AL36" i="6"/>
  <c r="AK7" i="6"/>
  <c r="AL7" i="6"/>
  <c r="AK5" i="6"/>
  <c r="AL5" i="6"/>
  <c r="AK38" i="6"/>
  <c r="AL38" i="6"/>
  <c r="AK17" i="6"/>
  <c r="AL17" i="6"/>
  <c r="AK31" i="6"/>
  <c r="AL31" i="6"/>
  <c r="AK24" i="6"/>
  <c r="AL24" i="6"/>
  <c r="AK25" i="6"/>
  <c r="AL25" i="6"/>
  <c r="AK27" i="6"/>
  <c r="AL27" i="6"/>
  <c r="AK14" i="6"/>
  <c r="AL14" i="6"/>
  <c r="AL39" i="6"/>
  <c r="AK39" i="6"/>
  <c r="AK32" i="6"/>
  <c r="AL32" i="6"/>
  <c r="AK9" i="6"/>
  <c r="AL9" i="6"/>
  <c r="AK30" i="6"/>
  <c r="AL30" i="6"/>
  <c r="AK16" i="6"/>
  <c r="AL16" i="6"/>
  <c r="AK34" i="6"/>
  <c r="AL34" i="6"/>
  <c r="AK18" i="6"/>
  <c r="AL18" i="6"/>
  <c r="AK26" i="6"/>
  <c r="AL26" i="6"/>
  <c r="AL37" i="6"/>
  <c r="AK37" i="6"/>
  <c r="AK22" i="6"/>
  <c r="AL22" i="6"/>
  <c r="AK6" i="6"/>
  <c r="AL6" i="6"/>
  <c r="AK20" i="6"/>
  <c r="AL20" i="6"/>
  <c r="AK35" i="6"/>
  <c r="AL35" i="6"/>
  <c r="AK33" i="6"/>
  <c r="AL33" i="6"/>
  <c r="AK10" i="6"/>
  <c r="AL10" i="6"/>
  <c r="AK4" i="6"/>
  <c r="AL4" i="6"/>
  <c r="AL28" i="6"/>
  <c r="AK28" i="6"/>
  <c r="H37" i="15" l="1"/>
  <c r="I36" i="15"/>
  <c r="K29" i="15"/>
  <c r="M29" i="15" s="1"/>
  <c r="N29" i="15" s="1"/>
  <c r="L30" i="15" s="1"/>
  <c r="K23" i="14"/>
  <c r="M23" i="14" s="1"/>
  <c r="N23" i="14" s="1"/>
  <c r="L24" i="14" s="1"/>
  <c r="AO4" i="6"/>
  <c r="AO33" i="6"/>
  <c r="AO20" i="6"/>
  <c r="AO22" i="6"/>
  <c r="AO26" i="6"/>
  <c r="AO34" i="6"/>
  <c r="AO30" i="6"/>
  <c r="AO32" i="6"/>
  <c r="AO14" i="6"/>
  <c r="AO25" i="6"/>
  <c r="AO31" i="6"/>
  <c r="AO38" i="6"/>
  <c r="AO7" i="6"/>
  <c r="AN13" i="6"/>
  <c r="AO8" i="6"/>
  <c r="AO15" i="6"/>
  <c r="AO23" i="6"/>
  <c r="AN19" i="6"/>
  <c r="AO28" i="6"/>
  <c r="AN10" i="6"/>
  <c r="AN35" i="6"/>
  <c r="AN6" i="6"/>
  <c r="AO37" i="6"/>
  <c r="AN18" i="6"/>
  <c r="AN16" i="6"/>
  <c r="AN9" i="6"/>
  <c r="AO39" i="6"/>
  <c r="AN27" i="6"/>
  <c r="AN24" i="6"/>
  <c r="AN17" i="6"/>
  <c r="AN5" i="6"/>
  <c r="AN36" i="6"/>
  <c r="AN40" i="6"/>
  <c r="AN12" i="6"/>
  <c r="AO21" i="6"/>
  <c r="AO11" i="6"/>
  <c r="AN29" i="6"/>
  <c r="AN4" i="6"/>
  <c r="AN33" i="6"/>
  <c r="AN20" i="6"/>
  <c r="AN22" i="6"/>
  <c r="AN26" i="6"/>
  <c r="AN34" i="6"/>
  <c r="AN30" i="6"/>
  <c r="AN32" i="6"/>
  <c r="AN14" i="6"/>
  <c r="AN25" i="6"/>
  <c r="AN31" i="6"/>
  <c r="AN38" i="6"/>
  <c r="AN7" i="6"/>
  <c r="AO13" i="6"/>
  <c r="AN8" i="6"/>
  <c r="AN15" i="6"/>
  <c r="AN23" i="6"/>
  <c r="AO19" i="6"/>
  <c r="AN28" i="6"/>
  <c r="AO10" i="6"/>
  <c r="AO35" i="6"/>
  <c r="AO6" i="6"/>
  <c r="AN37" i="6"/>
  <c r="AO18" i="6"/>
  <c r="AO16" i="6"/>
  <c r="AO9" i="6"/>
  <c r="AN39" i="6"/>
  <c r="AO27" i="6"/>
  <c r="AO24" i="6"/>
  <c r="AO17" i="6"/>
  <c r="AO5" i="6"/>
  <c r="AO36" i="6"/>
  <c r="AO40" i="6"/>
  <c r="AO12" i="6"/>
  <c r="AN21" i="6"/>
  <c r="AN11" i="6"/>
  <c r="AO29" i="6"/>
  <c r="K30" i="15" l="1"/>
  <c r="M30" i="15" s="1"/>
  <c r="N30" i="15" s="1"/>
  <c r="L31" i="15" s="1"/>
  <c r="H38" i="15"/>
  <c r="I37" i="15"/>
  <c r="K24" i="14"/>
  <c r="M24" i="14" s="1"/>
  <c r="N24" i="14" s="1"/>
  <c r="L25" i="14" s="1"/>
  <c r="K31" i="15" l="1"/>
  <c r="M31" i="15" s="1"/>
  <c r="N31" i="15" s="1"/>
  <c r="L32" i="15" s="1"/>
  <c r="H39" i="15"/>
  <c r="I38" i="15"/>
  <c r="K25" i="14"/>
  <c r="M25" i="14" s="1"/>
  <c r="N25" i="14" s="1"/>
  <c r="L26" i="14" s="1"/>
  <c r="K32" i="15" l="1"/>
  <c r="M32" i="15" s="1"/>
  <c r="N32" i="15" s="1"/>
  <c r="L33" i="15" s="1"/>
  <c r="H40" i="15"/>
  <c r="I39" i="15"/>
  <c r="K26" i="14"/>
  <c r="M26" i="14" s="1"/>
  <c r="N26" i="14" s="1"/>
  <c r="L27" i="14" s="1"/>
  <c r="K33" i="15" l="1"/>
  <c r="M33" i="15" s="1"/>
  <c r="N33" i="15" s="1"/>
  <c r="L34" i="15" s="1"/>
  <c r="H41" i="15"/>
  <c r="I40" i="15"/>
  <c r="K27" i="14"/>
  <c r="M27" i="14" s="1"/>
  <c r="N27" i="14" s="1"/>
  <c r="L28" i="14" s="1"/>
  <c r="H42" i="15" l="1"/>
  <c r="I41" i="15"/>
  <c r="K34" i="15"/>
  <c r="M34" i="15" s="1"/>
  <c r="N34" i="15" s="1"/>
  <c r="L35" i="15" s="1"/>
  <c r="K28" i="14"/>
  <c r="M28" i="14" s="1"/>
  <c r="N28" i="14" s="1"/>
  <c r="L29" i="14" s="1"/>
  <c r="K35" i="15" l="1"/>
  <c r="M35" i="15" s="1"/>
  <c r="N35" i="15" s="1"/>
  <c r="L36" i="15" s="1"/>
  <c r="H43" i="15"/>
  <c r="I42" i="15"/>
  <c r="K29" i="14"/>
  <c r="M29" i="14" s="1"/>
  <c r="N29" i="14" s="1"/>
  <c r="L30" i="14" s="1"/>
  <c r="K36" i="15" l="1"/>
  <c r="M36" i="15" s="1"/>
  <c r="N36" i="15" s="1"/>
  <c r="L37" i="15" s="1"/>
  <c r="H44" i="15"/>
  <c r="I43" i="15"/>
  <c r="K30" i="14"/>
  <c r="M30" i="14" s="1"/>
  <c r="N30" i="14" s="1"/>
  <c r="L31" i="14" s="1"/>
  <c r="K37" i="15" l="1"/>
  <c r="M37" i="15" s="1"/>
  <c r="N37" i="15" s="1"/>
  <c r="L38" i="15" s="1"/>
  <c r="H45" i="15"/>
  <c r="I44" i="15"/>
  <c r="K31" i="14"/>
  <c r="M31" i="14" s="1"/>
  <c r="N31" i="14" s="1"/>
  <c r="L32" i="14" s="1"/>
  <c r="H46" i="15" l="1"/>
  <c r="I45" i="15"/>
  <c r="K38" i="15"/>
  <c r="M38" i="15" s="1"/>
  <c r="N38" i="15" s="1"/>
  <c r="L39" i="15" s="1"/>
  <c r="K32" i="14"/>
  <c r="M32" i="14" s="1"/>
  <c r="N32" i="14" s="1"/>
  <c r="L33" i="14" s="1"/>
  <c r="K39" i="15" l="1"/>
  <c r="M39" i="15" s="1"/>
  <c r="N39" i="15" s="1"/>
  <c r="L40" i="15" s="1"/>
  <c r="H47" i="15"/>
  <c r="I46" i="15"/>
  <c r="K33" i="14"/>
  <c r="M33" i="14" s="1"/>
  <c r="N33" i="14" s="1"/>
  <c r="L34" i="14" s="1"/>
  <c r="K40" i="15" l="1"/>
  <c r="M40" i="15" s="1"/>
  <c r="N40" i="15" s="1"/>
  <c r="L41" i="15" s="1"/>
  <c r="H48" i="15"/>
  <c r="I47" i="15"/>
  <c r="K34" i="14"/>
  <c r="M34" i="14" s="1"/>
  <c r="N34" i="14" s="1"/>
  <c r="L35" i="14" s="1"/>
  <c r="K41" i="15" l="1"/>
  <c r="M41" i="15" s="1"/>
  <c r="N41" i="15" s="1"/>
  <c r="L42" i="15" s="1"/>
  <c r="H49" i="15"/>
  <c r="I48" i="15"/>
  <c r="K35" i="14"/>
  <c r="M35" i="14" s="1"/>
  <c r="N35" i="14" s="1"/>
  <c r="L36" i="14" s="1"/>
  <c r="K42" i="15" l="1"/>
  <c r="M42" i="15" s="1"/>
  <c r="N42" i="15" s="1"/>
  <c r="L43" i="15" s="1"/>
  <c r="H50" i="15"/>
  <c r="I49" i="15"/>
  <c r="K36" i="14"/>
  <c r="M36" i="14" s="1"/>
  <c r="N36" i="14" s="1"/>
  <c r="L37" i="14" s="1"/>
  <c r="K43" i="15" l="1"/>
  <c r="M43" i="15" s="1"/>
  <c r="N43" i="15" s="1"/>
  <c r="L44" i="15" s="1"/>
  <c r="H51" i="15"/>
  <c r="I50" i="15"/>
  <c r="K37" i="14"/>
  <c r="M37" i="14" s="1"/>
  <c r="N37" i="14" s="1"/>
  <c r="L38" i="14" s="1"/>
  <c r="K44" i="15" l="1"/>
  <c r="M44" i="15" s="1"/>
  <c r="N44" i="15" s="1"/>
  <c r="L45" i="15" s="1"/>
  <c r="H52" i="15"/>
  <c r="I51" i="15"/>
  <c r="K38" i="14"/>
  <c r="M38" i="14" s="1"/>
  <c r="N38" i="14" s="1"/>
  <c r="L39" i="14" s="1"/>
  <c r="K45" i="15" l="1"/>
  <c r="M45" i="15" s="1"/>
  <c r="N45" i="15" s="1"/>
  <c r="L46" i="15" s="1"/>
  <c r="H53" i="15"/>
  <c r="I52" i="15"/>
  <c r="K39" i="14"/>
  <c r="M39" i="14" s="1"/>
  <c r="N39" i="14" s="1"/>
  <c r="L40" i="14" s="1"/>
  <c r="K46" i="15" l="1"/>
  <c r="M46" i="15" s="1"/>
  <c r="N46" i="15" s="1"/>
  <c r="L47" i="15" s="1"/>
  <c r="H54" i="15"/>
  <c r="I53" i="15"/>
  <c r="K40" i="14"/>
  <c r="M40" i="14" s="1"/>
  <c r="N40" i="14" s="1"/>
  <c r="L41" i="14" s="1"/>
  <c r="K47" i="15" l="1"/>
  <c r="M47" i="15" s="1"/>
  <c r="N47" i="15" s="1"/>
  <c r="L48" i="15" s="1"/>
  <c r="H55" i="15"/>
  <c r="I54" i="15"/>
  <c r="K41" i="14"/>
  <c r="M41" i="14" s="1"/>
  <c r="N41" i="14" s="1"/>
  <c r="L42" i="14" s="1"/>
  <c r="K48" i="15" l="1"/>
  <c r="M48" i="15" s="1"/>
  <c r="N48" i="15" s="1"/>
  <c r="L49" i="15" s="1"/>
  <c r="H56" i="15"/>
  <c r="I55" i="15"/>
  <c r="K42" i="14"/>
  <c r="M42" i="14" s="1"/>
  <c r="N42" i="14" s="1"/>
  <c r="L43" i="14" s="1"/>
  <c r="K49" i="15" l="1"/>
  <c r="M49" i="15" s="1"/>
  <c r="N49" i="15" s="1"/>
  <c r="L50" i="15" s="1"/>
  <c r="H57" i="15"/>
  <c r="I56" i="15"/>
  <c r="K43" i="14"/>
  <c r="M43" i="14" s="1"/>
  <c r="N43" i="14" s="1"/>
  <c r="L44" i="14" s="1"/>
  <c r="K50" i="15" l="1"/>
  <c r="M50" i="15" s="1"/>
  <c r="N50" i="15" s="1"/>
  <c r="L51" i="15" s="1"/>
  <c r="H58" i="15"/>
  <c r="I57" i="15"/>
  <c r="K44" i="14"/>
  <c r="M44" i="14" s="1"/>
  <c r="N44" i="14" s="1"/>
  <c r="L45" i="14" s="1"/>
  <c r="K51" i="15" l="1"/>
  <c r="M51" i="15" s="1"/>
  <c r="N51" i="15" s="1"/>
  <c r="L52" i="15" s="1"/>
  <c r="H59" i="15"/>
  <c r="I58" i="15"/>
  <c r="K45" i="14"/>
  <c r="M45" i="14" s="1"/>
  <c r="N45" i="14" s="1"/>
  <c r="L46" i="14" s="1"/>
  <c r="K52" i="15" l="1"/>
  <c r="M52" i="15" s="1"/>
  <c r="N52" i="15" s="1"/>
  <c r="L53" i="15" s="1"/>
  <c r="H60" i="15"/>
  <c r="I59" i="15"/>
  <c r="K46" i="14"/>
  <c r="M46" i="14" s="1"/>
  <c r="N46" i="14" s="1"/>
  <c r="L47" i="14" s="1"/>
  <c r="H61" i="15" l="1"/>
  <c r="I60" i="15"/>
  <c r="K53" i="15"/>
  <c r="M53" i="15" s="1"/>
  <c r="N53" i="15" s="1"/>
  <c r="L54" i="15" s="1"/>
  <c r="K47" i="14"/>
  <c r="M47" i="14" s="1"/>
  <c r="N47" i="14" s="1"/>
  <c r="L48" i="14" s="1"/>
  <c r="K54" i="15" l="1"/>
  <c r="M54" i="15" s="1"/>
  <c r="N54" i="15" s="1"/>
  <c r="L55" i="15" s="1"/>
  <c r="H62" i="15"/>
  <c r="I61" i="15"/>
  <c r="K48" i="14"/>
  <c r="M48" i="14" s="1"/>
  <c r="N48" i="14" s="1"/>
  <c r="L49" i="14" s="1"/>
  <c r="K49" i="14" s="1"/>
  <c r="M49" i="14" s="1"/>
  <c r="N49" i="14" s="1"/>
  <c r="L50" i="14" s="1"/>
  <c r="K50" i="14" s="1"/>
  <c r="M50" i="14" s="1"/>
  <c r="N50" i="14" s="1"/>
  <c r="L51" i="14" s="1"/>
  <c r="K55" i="15" l="1"/>
  <c r="M55" i="15" s="1"/>
  <c r="N55" i="15" s="1"/>
  <c r="L56" i="15" s="1"/>
  <c r="H63" i="15"/>
  <c r="I62" i="15"/>
  <c r="K51" i="14"/>
  <c r="M51" i="14" s="1"/>
  <c r="N51" i="14" s="1"/>
  <c r="L52" i="14" s="1"/>
  <c r="K52" i="14" s="1"/>
  <c r="M52" i="14" s="1"/>
  <c r="N52" i="14" s="1"/>
  <c r="L53" i="14" s="1"/>
  <c r="K56" i="15" l="1"/>
  <c r="M56" i="15" s="1"/>
  <c r="N56" i="15" s="1"/>
  <c r="L57" i="15" s="1"/>
  <c r="H64" i="15"/>
  <c r="I63" i="15"/>
  <c r="K53" i="14"/>
  <c r="M53" i="14" s="1"/>
  <c r="N53" i="14" s="1"/>
  <c r="L54" i="14" s="1"/>
  <c r="K54" i="14" s="1"/>
  <c r="M54" i="14" s="1"/>
  <c r="N54" i="14" s="1"/>
  <c r="L55" i="14" s="1"/>
  <c r="K55" i="14" s="1"/>
  <c r="M55" i="14" s="1"/>
  <c r="N55" i="14" s="1"/>
  <c r="L56" i="14" s="1"/>
  <c r="K56" i="14" s="1"/>
  <c r="M56" i="14" s="1"/>
  <c r="K57" i="15" l="1"/>
  <c r="M57" i="15" s="1"/>
  <c r="N57" i="15" s="1"/>
  <c r="L58" i="15" s="1"/>
  <c r="H65" i="15"/>
  <c r="I64" i="15"/>
  <c r="N56" i="14"/>
  <c r="L57" i="14" s="1"/>
  <c r="K57" i="14" s="1"/>
  <c r="M57" i="14" s="1"/>
  <c r="K58" i="15" l="1"/>
  <c r="M58" i="15" s="1"/>
  <c r="N58" i="15" s="1"/>
  <c r="L59" i="15" s="1"/>
  <c r="H66" i="15"/>
  <c r="I65" i="15"/>
  <c r="N57" i="14"/>
  <c r="L58" i="14" s="1"/>
  <c r="K59" i="15" l="1"/>
  <c r="M59" i="15" s="1"/>
  <c r="N59" i="15" s="1"/>
  <c r="L60" i="15" s="1"/>
  <c r="H67" i="15"/>
  <c r="I66" i="15"/>
  <c r="K58" i="14"/>
  <c r="M58" i="14" s="1"/>
  <c r="N58" i="14" s="1"/>
  <c r="L59" i="14" s="1"/>
  <c r="K59" i="14" s="1"/>
  <c r="M59" i="14" s="1"/>
  <c r="K60" i="15" l="1"/>
  <c r="M60" i="15" s="1"/>
  <c r="N60" i="15" s="1"/>
  <c r="L61" i="15" s="1"/>
  <c r="H68" i="15"/>
  <c r="I67" i="15"/>
  <c r="N59" i="14"/>
  <c r="L60" i="14" s="1"/>
  <c r="K61" i="15" l="1"/>
  <c r="M61" i="15" s="1"/>
  <c r="N61" i="15" s="1"/>
  <c r="L62" i="15" s="1"/>
  <c r="H69" i="15"/>
  <c r="I68" i="15"/>
  <c r="K60" i="14"/>
  <c r="M60" i="14" s="1"/>
  <c r="N60" i="14" s="1"/>
  <c r="L61" i="14" s="1"/>
  <c r="K62" i="15" l="1"/>
  <c r="M62" i="15" s="1"/>
  <c r="N62" i="15" s="1"/>
  <c r="L63" i="15" s="1"/>
  <c r="H70" i="15"/>
  <c r="I69" i="15"/>
  <c r="K61" i="14"/>
  <c r="M61" i="14" s="1"/>
  <c r="N61" i="14" s="1"/>
  <c r="L62" i="14" s="1"/>
  <c r="K63" i="15" l="1"/>
  <c r="M63" i="15" s="1"/>
  <c r="N63" i="15" s="1"/>
  <c r="L64" i="15" s="1"/>
  <c r="H71" i="15"/>
  <c r="I70" i="15"/>
  <c r="K62" i="14"/>
  <c r="M62" i="14" s="1"/>
  <c r="N62" i="14" s="1"/>
  <c r="L63" i="14" s="1"/>
  <c r="K64" i="15" l="1"/>
  <c r="M64" i="15" s="1"/>
  <c r="N64" i="15" s="1"/>
  <c r="L65" i="15" s="1"/>
  <c r="H72" i="15"/>
  <c r="I71" i="15"/>
  <c r="K63" i="14"/>
  <c r="M63" i="14" s="1"/>
  <c r="N63" i="14" s="1"/>
  <c r="L64" i="14" s="1"/>
  <c r="K64" i="14" s="1"/>
  <c r="M64" i="14" s="1"/>
  <c r="K65" i="15" l="1"/>
  <c r="M65" i="15" s="1"/>
  <c r="N65" i="15" s="1"/>
  <c r="L66" i="15" s="1"/>
  <c r="H73" i="15"/>
  <c r="I72" i="15"/>
  <c r="N64" i="14"/>
  <c r="L65" i="14" s="1"/>
  <c r="K66" i="15" l="1"/>
  <c r="M66" i="15" s="1"/>
  <c r="N66" i="15" s="1"/>
  <c r="L67" i="15" s="1"/>
  <c r="H74" i="15"/>
  <c r="I73" i="15"/>
  <c r="K65" i="14"/>
  <c r="M65" i="14" s="1"/>
  <c r="N65" i="14" s="1"/>
  <c r="L66" i="14" s="1"/>
  <c r="K67" i="15" l="1"/>
  <c r="M67" i="15" s="1"/>
  <c r="N67" i="15" s="1"/>
  <c r="L68" i="15" s="1"/>
  <c r="H75" i="15"/>
  <c r="I74" i="15"/>
  <c r="K66" i="14"/>
  <c r="M66" i="14" s="1"/>
  <c r="N66" i="14" s="1"/>
  <c r="L67" i="14" s="1"/>
  <c r="K68" i="15" l="1"/>
  <c r="M68" i="15" s="1"/>
  <c r="N68" i="15" s="1"/>
  <c r="L69" i="15" s="1"/>
  <c r="H76" i="15"/>
  <c r="I75" i="15"/>
  <c r="K67" i="14"/>
  <c r="M67" i="14" s="1"/>
  <c r="N67" i="14" s="1"/>
  <c r="L68" i="14" s="1"/>
  <c r="K69" i="15" l="1"/>
  <c r="M69" i="15" s="1"/>
  <c r="N69" i="15" s="1"/>
  <c r="L70" i="15" s="1"/>
  <c r="H77" i="15"/>
  <c r="I76" i="15"/>
  <c r="K68" i="14"/>
  <c r="M68" i="14" s="1"/>
  <c r="N68" i="14" s="1"/>
  <c r="L69" i="14" s="1"/>
  <c r="K70" i="15" l="1"/>
  <c r="M70" i="15" s="1"/>
  <c r="N70" i="15" s="1"/>
  <c r="L71" i="15" s="1"/>
  <c r="H78" i="15"/>
  <c r="I77" i="15"/>
  <c r="K69" i="14"/>
  <c r="M69" i="14" s="1"/>
  <c r="N69" i="14" s="1"/>
  <c r="L70" i="14" s="1"/>
  <c r="K70" i="14" s="1"/>
  <c r="M70" i="14" s="1"/>
  <c r="K71" i="15" l="1"/>
  <c r="M71" i="15" s="1"/>
  <c r="N71" i="15" s="1"/>
  <c r="L72" i="15" s="1"/>
  <c r="H79" i="15"/>
  <c r="I78" i="15"/>
  <c r="N70" i="14"/>
  <c r="L71" i="14" s="1"/>
  <c r="K71" i="14" s="1"/>
  <c r="M71" i="14" s="1"/>
  <c r="K72" i="15" l="1"/>
  <c r="M72" i="15" s="1"/>
  <c r="N72" i="15" s="1"/>
  <c r="L73" i="15" s="1"/>
  <c r="H80" i="15"/>
  <c r="I79" i="15"/>
  <c r="N71" i="14"/>
  <c r="L72" i="14" s="1"/>
  <c r="K72" i="14" s="1"/>
  <c r="M72" i="14" s="1"/>
  <c r="K73" i="15" l="1"/>
  <c r="M73" i="15" s="1"/>
  <c r="N73" i="15" s="1"/>
  <c r="L74" i="15" s="1"/>
  <c r="H81" i="15"/>
  <c r="I80" i="15"/>
  <c r="N72" i="14"/>
  <c r="L73" i="14" s="1"/>
  <c r="K73" i="14" s="1"/>
  <c r="M73" i="14" s="1"/>
  <c r="K74" i="15" l="1"/>
  <c r="M74" i="15" s="1"/>
  <c r="N74" i="15" s="1"/>
  <c r="L75" i="15" s="1"/>
  <c r="H82" i="15"/>
  <c r="I81" i="15"/>
  <c r="N73" i="14"/>
  <c r="L74" i="14" s="1"/>
  <c r="K74" i="14" s="1"/>
  <c r="M74" i="14" s="1"/>
  <c r="K75" i="15" l="1"/>
  <c r="M75" i="15" s="1"/>
  <c r="N75" i="15" s="1"/>
  <c r="L76" i="15" s="1"/>
  <c r="H83" i="15"/>
  <c r="I82" i="15"/>
  <c r="N74" i="14"/>
  <c r="L75" i="14" s="1"/>
  <c r="K75" i="14" s="1"/>
  <c r="M75" i="14" s="1"/>
  <c r="K76" i="15" l="1"/>
  <c r="M76" i="15" s="1"/>
  <c r="N76" i="15" s="1"/>
  <c r="L77" i="15" s="1"/>
  <c r="H84" i="15"/>
  <c r="I83" i="15"/>
  <c r="N75" i="14"/>
  <c r="L76" i="14" s="1"/>
  <c r="K76" i="14" s="1"/>
  <c r="M76" i="14" s="1"/>
  <c r="K77" i="15" l="1"/>
  <c r="M77" i="15" s="1"/>
  <c r="N77" i="15" s="1"/>
  <c r="L78" i="15" s="1"/>
  <c r="H85" i="15"/>
  <c r="I84" i="15"/>
  <c r="N76" i="14"/>
  <c r="L77" i="14" s="1"/>
  <c r="K78" i="15" l="1"/>
  <c r="M78" i="15" s="1"/>
  <c r="N78" i="15" s="1"/>
  <c r="L79" i="15" s="1"/>
  <c r="H86" i="15"/>
  <c r="I85" i="15"/>
  <c r="K77" i="14"/>
  <c r="M77" i="14" s="1"/>
  <c r="N77" i="14" s="1"/>
  <c r="L78" i="14" s="1"/>
  <c r="K79" i="15" l="1"/>
  <c r="M79" i="15" s="1"/>
  <c r="N79" i="15" s="1"/>
  <c r="L80" i="15" s="1"/>
  <c r="H87" i="15"/>
  <c r="I86" i="15"/>
  <c r="K78" i="14"/>
  <c r="M78" i="14" s="1"/>
  <c r="N78" i="14" s="1"/>
  <c r="L79" i="14" s="1"/>
  <c r="K80" i="15" l="1"/>
  <c r="M80" i="15" s="1"/>
  <c r="N80" i="15" s="1"/>
  <c r="L81" i="15" s="1"/>
  <c r="H88" i="15"/>
  <c r="I87" i="15"/>
  <c r="K79" i="14"/>
  <c r="M79" i="14" s="1"/>
  <c r="N79" i="14" s="1"/>
  <c r="L80" i="14" s="1"/>
  <c r="K81" i="15" l="1"/>
  <c r="M81" i="15" s="1"/>
  <c r="N81" i="15" s="1"/>
  <c r="L82" i="15" s="1"/>
  <c r="H89" i="15"/>
  <c r="I88" i="15"/>
  <c r="K80" i="14"/>
  <c r="M80" i="14" s="1"/>
  <c r="N80" i="14" s="1"/>
  <c r="L81" i="14" s="1"/>
  <c r="K82" i="15" l="1"/>
  <c r="M82" i="15" s="1"/>
  <c r="N82" i="15" s="1"/>
  <c r="L83" i="15" s="1"/>
  <c r="H90" i="15"/>
  <c r="I89" i="15"/>
  <c r="K81" i="14"/>
  <c r="M81" i="14" s="1"/>
  <c r="N81" i="14" s="1"/>
  <c r="L82" i="14" s="1"/>
  <c r="K83" i="15" l="1"/>
  <c r="M83" i="15" s="1"/>
  <c r="N83" i="15" s="1"/>
  <c r="L84" i="15" s="1"/>
  <c r="H91" i="15"/>
  <c r="I90" i="15"/>
  <c r="K82" i="14"/>
  <c r="M82" i="14" s="1"/>
  <c r="N82" i="14" s="1"/>
  <c r="L83" i="14" s="1"/>
  <c r="K83" i="14" s="1"/>
  <c r="M83" i="14" s="1"/>
  <c r="K84" i="15" l="1"/>
  <c r="M84" i="15" s="1"/>
  <c r="N84" i="15" s="1"/>
  <c r="L85" i="15" s="1"/>
  <c r="H92" i="15"/>
  <c r="I91" i="15"/>
  <c r="N83" i="14"/>
  <c r="L84" i="14" s="1"/>
  <c r="K85" i="15" l="1"/>
  <c r="M85" i="15" s="1"/>
  <c r="N85" i="15" s="1"/>
  <c r="L86" i="15" s="1"/>
  <c r="H93" i="15"/>
  <c r="I92" i="15"/>
  <c r="K84" i="14"/>
  <c r="M84" i="14" s="1"/>
  <c r="N84" i="14" s="1"/>
  <c r="L85" i="14" s="1"/>
  <c r="K85" i="14" s="1"/>
  <c r="M85" i="14" s="1"/>
  <c r="K86" i="15" l="1"/>
  <c r="M86" i="15" s="1"/>
  <c r="N86" i="15" s="1"/>
  <c r="L87" i="15" s="1"/>
  <c r="H94" i="15"/>
  <c r="I93" i="15"/>
  <c r="N85" i="14"/>
  <c r="L86" i="14" s="1"/>
  <c r="K87" i="15" l="1"/>
  <c r="M87" i="15" s="1"/>
  <c r="N87" i="15" s="1"/>
  <c r="L88" i="15" s="1"/>
  <c r="H95" i="15"/>
  <c r="I94" i="15"/>
  <c r="K86" i="14"/>
  <c r="M86" i="14" s="1"/>
  <c r="N86" i="14" s="1"/>
  <c r="L87" i="14" s="1"/>
  <c r="K88" i="15" l="1"/>
  <c r="M88" i="15" s="1"/>
  <c r="N88" i="15" s="1"/>
  <c r="L89" i="15" s="1"/>
  <c r="H96" i="15"/>
  <c r="I95" i="15"/>
  <c r="K87" i="14"/>
  <c r="M87" i="14" s="1"/>
  <c r="N87" i="14" s="1"/>
  <c r="L88" i="14" s="1"/>
  <c r="K88" i="14" s="1"/>
  <c r="M88" i="14" s="1"/>
  <c r="H97" i="15" l="1"/>
  <c r="I96" i="15"/>
  <c r="K89" i="15"/>
  <c r="M89" i="15" s="1"/>
  <c r="N89" i="15" s="1"/>
  <c r="L90" i="15" s="1"/>
  <c r="N88" i="14"/>
  <c r="L89" i="14" s="1"/>
  <c r="K90" i="15" l="1"/>
  <c r="M90" i="15" s="1"/>
  <c r="N90" i="15" s="1"/>
  <c r="L91" i="15" s="1"/>
  <c r="H98" i="15"/>
  <c r="I97" i="15"/>
  <c r="K89" i="14"/>
  <c r="M89" i="14" s="1"/>
  <c r="N89" i="14" s="1"/>
  <c r="L90" i="14" s="1"/>
  <c r="K90" i="14" s="1"/>
  <c r="M90" i="14" s="1"/>
  <c r="K91" i="15" l="1"/>
  <c r="M91" i="15" s="1"/>
  <c r="N91" i="15" s="1"/>
  <c r="L92" i="15" s="1"/>
  <c r="H99" i="15"/>
  <c r="I98" i="15"/>
  <c r="N90" i="14"/>
  <c r="L91" i="14" s="1"/>
  <c r="K92" i="15" l="1"/>
  <c r="M92" i="15" s="1"/>
  <c r="N92" i="15" s="1"/>
  <c r="L93" i="15" s="1"/>
  <c r="H100" i="15"/>
  <c r="I99" i="15"/>
  <c r="K91" i="14"/>
  <c r="M91" i="14" s="1"/>
  <c r="N91" i="14" s="1"/>
  <c r="L92" i="14" s="1"/>
  <c r="K92" i="14" s="1"/>
  <c r="M92" i="14" s="1"/>
  <c r="K93" i="15" l="1"/>
  <c r="M93" i="15" s="1"/>
  <c r="N93" i="15" s="1"/>
  <c r="L94" i="15" s="1"/>
  <c r="H101" i="15"/>
  <c r="I100" i="15"/>
  <c r="N92" i="14"/>
  <c r="L93" i="14" s="1"/>
  <c r="K94" i="15" l="1"/>
  <c r="M94" i="15" s="1"/>
  <c r="N94" i="15" s="1"/>
  <c r="L95" i="15" s="1"/>
  <c r="H102" i="15"/>
  <c r="I101" i="15"/>
  <c r="K93" i="14"/>
  <c r="M93" i="14" s="1"/>
  <c r="N93" i="14" s="1"/>
  <c r="L94" i="14" s="1"/>
  <c r="K94" i="14" s="1"/>
  <c r="M94" i="14" s="1"/>
  <c r="K95" i="15" l="1"/>
  <c r="M95" i="15" s="1"/>
  <c r="N95" i="15" s="1"/>
  <c r="L96" i="15" s="1"/>
  <c r="H103" i="15"/>
  <c r="I102" i="15"/>
  <c r="N94" i="14"/>
  <c r="L95" i="14" s="1"/>
  <c r="K95" i="14" s="1"/>
  <c r="M95" i="14" s="1"/>
  <c r="K96" i="15" l="1"/>
  <c r="M96" i="15" s="1"/>
  <c r="N96" i="15" s="1"/>
  <c r="L97" i="15" s="1"/>
  <c r="H104" i="15"/>
  <c r="I103" i="15"/>
  <c r="N95" i="14"/>
  <c r="L96" i="14" s="1"/>
  <c r="K96" i="14" s="1"/>
  <c r="M96" i="14" s="1"/>
  <c r="K97" i="15" l="1"/>
  <c r="M97" i="15" s="1"/>
  <c r="N97" i="15" s="1"/>
  <c r="L98" i="15" s="1"/>
  <c r="H105" i="15"/>
  <c r="I104" i="15"/>
  <c r="N96" i="14"/>
  <c r="L97" i="14" s="1"/>
  <c r="K97" i="14" s="1"/>
  <c r="M97" i="14" s="1"/>
  <c r="K98" i="15" l="1"/>
  <c r="M98" i="15" s="1"/>
  <c r="N98" i="15" s="1"/>
  <c r="L99" i="15" s="1"/>
  <c r="H106" i="15"/>
  <c r="I105" i="15"/>
  <c r="N97" i="14"/>
  <c r="L98" i="14" s="1"/>
  <c r="K98" i="14" s="1"/>
  <c r="M98" i="14" s="1"/>
  <c r="K99" i="15" l="1"/>
  <c r="M99" i="15" s="1"/>
  <c r="N99" i="15" s="1"/>
  <c r="L100" i="15" s="1"/>
  <c r="H107" i="15"/>
  <c r="I106" i="15"/>
  <c r="N98" i="14"/>
  <c r="L99" i="14" s="1"/>
  <c r="K100" i="15" l="1"/>
  <c r="M100" i="15" s="1"/>
  <c r="N100" i="15" s="1"/>
  <c r="L101" i="15" s="1"/>
  <c r="H108" i="15"/>
  <c r="I107" i="15"/>
  <c r="K99" i="14"/>
  <c r="M99" i="14" s="1"/>
  <c r="N99" i="14" s="1"/>
  <c r="L100" i="14" s="1"/>
  <c r="K101" i="15" l="1"/>
  <c r="M101" i="15" s="1"/>
  <c r="N101" i="15" s="1"/>
  <c r="L102" i="15" s="1"/>
  <c r="H109" i="15"/>
  <c r="I108" i="15"/>
  <c r="K100" i="14"/>
  <c r="M100" i="14" s="1"/>
  <c r="N100" i="14" s="1"/>
  <c r="L101" i="14" s="1"/>
  <c r="K102" i="15" l="1"/>
  <c r="M102" i="15" s="1"/>
  <c r="N102" i="15" s="1"/>
  <c r="L103" i="15" s="1"/>
  <c r="H110" i="15"/>
  <c r="I109" i="15"/>
  <c r="K101" i="14"/>
  <c r="M101" i="14" s="1"/>
  <c r="N101" i="14" s="1"/>
  <c r="L102" i="14" s="1"/>
  <c r="H111" i="15" l="1"/>
  <c r="I110" i="15"/>
  <c r="K103" i="15"/>
  <c r="M103" i="15" s="1"/>
  <c r="N103" i="15" s="1"/>
  <c r="L104" i="15" s="1"/>
  <c r="K102" i="14"/>
  <c r="M102" i="14" s="1"/>
  <c r="N102" i="14" s="1"/>
  <c r="L103" i="14" s="1"/>
  <c r="K104" i="15" l="1"/>
  <c r="M104" i="15" s="1"/>
  <c r="N104" i="15" s="1"/>
  <c r="L105" i="15" s="1"/>
  <c r="H112" i="15"/>
  <c r="I111" i="15"/>
  <c r="K103" i="14"/>
  <c r="M103" i="14" s="1"/>
  <c r="N103" i="14" s="1"/>
  <c r="L104" i="14" s="1"/>
  <c r="H113" i="15" l="1"/>
  <c r="I112" i="15"/>
  <c r="K105" i="15"/>
  <c r="M105" i="15" s="1"/>
  <c r="N105" i="15" s="1"/>
  <c r="L106" i="15" s="1"/>
  <c r="K104" i="14"/>
  <c r="M104" i="14" s="1"/>
  <c r="N104" i="14" s="1"/>
  <c r="L105" i="14" s="1"/>
  <c r="K106" i="15" l="1"/>
  <c r="M106" i="15" s="1"/>
  <c r="N106" i="15" s="1"/>
  <c r="L107" i="15" s="1"/>
  <c r="H114" i="15"/>
  <c r="I113" i="15"/>
  <c r="K105" i="14"/>
  <c r="M105" i="14" s="1"/>
  <c r="N105" i="14" s="1"/>
  <c r="L106" i="14" s="1"/>
  <c r="K107" i="15" l="1"/>
  <c r="M107" i="15" s="1"/>
  <c r="N107" i="15" s="1"/>
  <c r="L108" i="15" s="1"/>
  <c r="H115" i="15"/>
  <c r="I114" i="15"/>
  <c r="K106" i="14"/>
  <c r="M106" i="14" s="1"/>
  <c r="N106" i="14" s="1"/>
  <c r="L107" i="14" s="1"/>
  <c r="K108" i="15" l="1"/>
  <c r="M108" i="15" s="1"/>
  <c r="N108" i="15" s="1"/>
  <c r="L109" i="15" s="1"/>
  <c r="H116" i="15"/>
  <c r="I115" i="15"/>
  <c r="K107" i="14"/>
  <c r="M107" i="14" s="1"/>
  <c r="N107" i="14" s="1"/>
  <c r="L108" i="14" s="1"/>
  <c r="K109" i="15" l="1"/>
  <c r="M109" i="15" s="1"/>
  <c r="N109" i="15" s="1"/>
  <c r="L110" i="15" s="1"/>
  <c r="H117" i="15"/>
  <c r="I116" i="15"/>
  <c r="K108" i="14"/>
  <c r="M108" i="14" s="1"/>
  <c r="N108" i="14" s="1"/>
  <c r="L109" i="14" s="1"/>
  <c r="K110" i="15" l="1"/>
  <c r="M110" i="15" s="1"/>
  <c r="N110" i="15" s="1"/>
  <c r="L111" i="15" s="1"/>
  <c r="H118" i="15"/>
  <c r="I117" i="15"/>
  <c r="K109" i="14"/>
  <c r="M109" i="14" s="1"/>
  <c r="N109" i="14" s="1"/>
  <c r="L110" i="14" s="1"/>
  <c r="K111" i="15" l="1"/>
  <c r="M111" i="15" s="1"/>
  <c r="N111" i="15" s="1"/>
  <c r="L112" i="15" s="1"/>
  <c r="H119" i="15"/>
  <c r="I118" i="15"/>
  <c r="K110" i="14"/>
  <c r="M110" i="14" s="1"/>
  <c r="N110" i="14" s="1"/>
  <c r="L111" i="14" s="1"/>
  <c r="K112" i="15" l="1"/>
  <c r="M112" i="15" s="1"/>
  <c r="N112" i="15" s="1"/>
  <c r="L113" i="15" s="1"/>
  <c r="H120" i="15"/>
  <c r="I119" i="15"/>
  <c r="K111" i="14"/>
  <c r="M111" i="14" s="1"/>
  <c r="N111" i="14" s="1"/>
  <c r="L112" i="14" s="1"/>
  <c r="K113" i="15" l="1"/>
  <c r="M113" i="15" s="1"/>
  <c r="N113" i="15" s="1"/>
  <c r="L114" i="15" s="1"/>
  <c r="H121" i="15"/>
  <c r="I120" i="15"/>
  <c r="K112" i="14"/>
  <c r="M112" i="14" s="1"/>
  <c r="N112" i="14" s="1"/>
  <c r="L113" i="14" s="1"/>
  <c r="K114" i="15" l="1"/>
  <c r="M114" i="15" s="1"/>
  <c r="N114" i="15" s="1"/>
  <c r="L115" i="15" s="1"/>
  <c r="H122" i="15"/>
  <c r="I121" i="15"/>
  <c r="K113" i="14"/>
  <c r="M113" i="14" s="1"/>
  <c r="N113" i="14" s="1"/>
  <c r="L114" i="14" s="1"/>
  <c r="K115" i="15" l="1"/>
  <c r="M115" i="15" s="1"/>
  <c r="N115" i="15" s="1"/>
  <c r="L116" i="15" s="1"/>
  <c r="H123" i="15"/>
  <c r="I122" i="15"/>
  <c r="K114" i="14"/>
  <c r="M114" i="14" s="1"/>
  <c r="N114" i="14" s="1"/>
  <c r="L115" i="14" s="1"/>
  <c r="K115" i="14" s="1"/>
  <c r="M115" i="14" s="1"/>
  <c r="K116" i="15" l="1"/>
  <c r="M116" i="15" s="1"/>
  <c r="N116" i="15" s="1"/>
  <c r="L117" i="15" s="1"/>
  <c r="H124" i="15"/>
  <c r="I123" i="15"/>
  <c r="N115" i="14"/>
  <c r="L116" i="14" s="1"/>
  <c r="K117" i="15" l="1"/>
  <c r="M117" i="15" s="1"/>
  <c r="N117" i="15" s="1"/>
  <c r="L118" i="15" s="1"/>
  <c r="H125" i="15"/>
  <c r="I124" i="15"/>
  <c r="K116" i="14"/>
  <c r="M116" i="14" s="1"/>
  <c r="N116" i="14" s="1"/>
  <c r="L117" i="14" s="1"/>
  <c r="K117" i="14" s="1"/>
  <c r="M117" i="14" s="1"/>
  <c r="K118" i="15" l="1"/>
  <c r="M118" i="15" s="1"/>
  <c r="N118" i="15" s="1"/>
  <c r="L119" i="15" s="1"/>
  <c r="H126" i="15"/>
  <c r="I125" i="15"/>
  <c r="N117" i="14"/>
  <c r="L118" i="14" s="1"/>
  <c r="K118" i="14" s="1"/>
  <c r="M118" i="14" s="1"/>
  <c r="K119" i="15" l="1"/>
  <c r="M119" i="15" s="1"/>
  <c r="N119" i="15" s="1"/>
  <c r="L120" i="15" s="1"/>
  <c r="H127" i="15"/>
  <c r="I126" i="15"/>
  <c r="N118" i="14"/>
  <c r="L119" i="14" s="1"/>
  <c r="K119" i="14" s="1"/>
  <c r="M119" i="14" s="1"/>
  <c r="H128" i="15" l="1"/>
  <c r="I127" i="15"/>
  <c r="K120" i="15"/>
  <c r="M120" i="15" s="1"/>
  <c r="N120" i="15" s="1"/>
  <c r="L121" i="15" s="1"/>
  <c r="N119" i="14"/>
  <c r="L120" i="14" s="1"/>
  <c r="K120" i="14" s="1"/>
  <c r="M120" i="14" s="1"/>
  <c r="K121" i="15" l="1"/>
  <c r="M121" i="15" s="1"/>
  <c r="N121" i="15" s="1"/>
  <c r="L122" i="15" s="1"/>
  <c r="H129" i="15"/>
  <c r="I128" i="15"/>
  <c r="N120" i="14"/>
  <c r="L121" i="14" s="1"/>
  <c r="K122" i="15" l="1"/>
  <c r="M122" i="15" s="1"/>
  <c r="N122" i="15" s="1"/>
  <c r="L123" i="15" s="1"/>
  <c r="H130" i="15"/>
  <c r="I129" i="15"/>
  <c r="K121" i="14"/>
  <c r="M121" i="14" s="1"/>
  <c r="N121" i="14" s="1"/>
  <c r="L122" i="14" s="1"/>
  <c r="K122" i="14" s="1"/>
  <c r="M122" i="14" s="1"/>
  <c r="H131" i="15" l="1"/>
  <c r="I130" i="15"/>
  <c r="K123" i="15"/>
  <c r="M123" i="15" s="1"/>
  <c r="N123" i="15" s="1"/>
  <c r="L124" i="15" s="1"/>
  <c r="N122" i="14"/>
  <c r="L123" i="14" s="1"/>
  <c r="K124" i="15" l="1"/>
  <c r="M124" i="15" s="1"/>
  <c r="N124" i="15" s="1"/>
  <c r="L125" i="15" s="1"/>
  <c r="H132" i="15"/>
  <c r="I131" i="15"/>
  <c r="K123" i="14"/>
  <c r="M123" i="14" s="1"/>
  <c r="N123" i="14" s="1"/>
  <c r="L124" i="14" s="1"/>
  <c r="K124" i="14" s="1"/>
  <c r="M124" i="14" s="1"/>
  <c r="H133" i="15" l="1"/>
  <c r="I132" i="15"/>
  <c r="K125" i="15"/>
  <c r="M125" i="15" s="1"/>
  <c r="N125" i="15" s="1"/>
  <c r="L126" i="15" s="1"/>
  <c r="N124" i="14"/>
  <c r="L125" i="14" s="1"/>
  <c r="K125" i="14" s="1"/>
  <c r="M125" i="14" s="1"/>
  <c r="K126" i="15" l="1"/>
  <c r="M126" i="15" s="1"/>
  <c r="N126" i="15" s="1"/>
  <c r="L127" i="15" s="1"/>
  <c r="H134" i="15"/>
  <c r="I133" i="15"/>
  <c r="N125" i="14"/>
  <c r="L126" i="14" s="1"/>
  <c r="K126" i="14" s="1"/>
  <c r="M126" i="14" s="1"/>
  <c r="K127" i="15" l="1"/>
  <c r="M127" i="15" s="1"/>
  <c r="N127" i="15" s="1"/>
  <c r="L128" i="15" s="1"/>
  <c r="H135" i="15"/>
  <c r="I134" i="15"/>
  <c r="N126" i="14"/>
  <c r="L127" i="14" s="1"/>
  <c r="H136" i="15" l="1"/>
  <c r="I135" i="15"/>
  <c r="K128" i="15"/>
  <c r="M128" i="15" s="1"/>
  <c r="N128" i="15" s="1"/>
  <c r="L129" i="15" s="1"/>
  <c r="K127" i="14"/>
  <c r="M127" i="14" s="1"/>
  <c r="N127" i="14" s="1"/>
  <c r="L128" i="14" s="1"/>
  <c r="K128" i="14" s="1"/>
  <c r="M128" i="14" s="1"/>
  <c r="K129" i="15" l="1"/>
  <c r="M129" i="15" s="1"/>
  <c r="N129" i="15" s="1"/>
  <c r="L130" i="15" s="1"/>
  <c r="H137" i="15"/>
  <c r="I136" i="15"/>
  <c r="N128" i="14"/>
  <c r="L129" i="14" s="1"/>
  <c r="K129" i="14" s="1"/>
  <c r="M129" i="14" s="1"/>
  <c r="K130" i="15" l="1"/>
  <c r="M130" i="15" s="1"/>
  <c r="N130" i="15" s="1"/>
  <c r="L131" i="15" s="1"/>
  <c r="H138" i="15"/>
  <c r="I137" i="15"/>
  <c r="N129" i="14"/>
  <c r="L130" i="14" s="1"/>
  <c r="H139" i="15" l="1"/>
  <c r="I138" i="15"/>
  <c r="K131" i="15"/>
  <c r="M131" i="15" s="1"/>
  <c r="N131" i="15" s="1"/>
  <c r="L132" i="15" s="1"/>
  <c r="K130" i="14"/>
  <c r="M130" i="14" s="1"/>
  <c r="N130" i="14" s="1"/>
  <c r="L131" i="14" s="1"/>
  <c r="K131" i="14" s="1"/>
  <c r="M131" i="14" s="1"/>
  <c r="K132" i="15" l="1"/>
  <c r="M132" i="15" s="1"/>
  <c r="N132" i="15" s="1"/>
  <c r="L133" i="15" s="1"/>
  <c r="H140" i="15"/>
  <c r="I139" i="15"/>
  <c r="N131" i="14"/>
  <c r="L132" i="14" s="1"/>
  <c r="K133" i="15" l="1"/>
  <c r="M133" i="15" s="1"/>
  <c r="N133" i="15" s="1"/>
  <c r="L134" i="15" s="1"/>
  <c r="H141" i="15"/>
  <c r="I140" i="15"/>
  <c r="K132" i="14"/>
  <c r="M132" i="14" s="1"/>
  <c r="N132" i="14" s="1"/>
  <c r="L133" i="14" s="1"/>
  <c r="K133" i="14" s="1"/>
  <c r="M133" i="14" s="1"/>
  <c r="K134" i="15" l="1"/>
  <c r="M134" i="15" s="1"/>
  <c r="N134" i="15" s="1"/>
  <c r="L135" i="15" s="1"/>
  <c r="H142" i="15"/>
  <c r="I141" i="15"/>
  <c r="N133" i="14"/>
  <c r="L134" i="14" s="1"/>
  <c r="K134" i="14" s="1"/>
  <c r="M134" i="14" s="1"/>
  <c r="H143" i="15" l="1"/>
  <c r="I142" i="15"/>
  <c r="K135" i="15"/>
  <c r="M135" i="15" s="1"/>
  <c r="N135" i="15" s="1"/>
  <c r="L136" i="15" s="1"/>
  <c r="N134" i="14"/>
  <c r="L135" i="14" s="1"/>
  <c r="K135" i="14" s="1"/>
  <c r="M135" i="14" s="1"/>
  <c r="K136" i="15" l="1"/>
  <c r="M136" i="15" s="1"/>
  <c r="N136" i="15" s="1"/>
  <c r="L137" i="15" s="1"/>
  <c r="H144" i="15"/>
  <c r="I143" i="15"/>
  <c r="N135" i="14"/>
  <c r="L136" i="14" s="1"/>
  <c r="K136" i="14" s="1"/>
  <c r="M136" i="14" s="1"/>
  <c r="K137" i="15" l="1"/>
  <c r="M137" i="15" s="1"/>
  <c r="N137" i="15" s="1"/>
  <c r="L138" i="15" s="1"/>
  <c r="H145" i="15"/>
  <c r="I144" i="15"/>
  <c r="N136" i="14"/>
  <c r="L137" i="14" s="1"/>
  <c r="K137" i="14" s="1"/>
  <c r="M137" i="14" s="1"/>
  <c r="K138" i="15" l="1"/>
  <c r="M138" i="15" s="1"/>
  <c r="N138" i="15" s="1"/>
  <c r="L139" i="15" s="1"/>
  <c r="H146" i="15"/>
  <c r="I145" i="15"/>
  <c r="N137" i="14"/>
  <c r="L138" i="14" s="1"/>
  <c r="K138" i="14" s="1"/>
  <c r="M138" i="14" s="1"/>
  <c r="K139" i="15" l="1"/>
  <c r="M139" i="15" s="1"/>
  <c r="N139" i="15" s="1"/>
  <c r="L140" i="15" s="1"/>
  <c r="H147" i="15"/>
  <c r="I146" i="15"/>
  <c r="N138" i="14"/>
  <c r="L139" i="14" s="1"/>
  <c r="K139" i="14" s="1"/>
  <c r="M139" i="14" s="1"/>
  <c r="K140" i="15" l="1"/>
  <c r="M140" i="15" s="1"/>
  <c r="N140" i="15" s="1"/>
  <c r="L141" i="15" s="1"/>
  <c r="H148" i="15"/>
  <c r="I147" i="15"/>
  <c r="N139" i="14"/>
  <c r="L140" i="14" s="1"/>
  <c r="K140" i="14" s="1"/>
  <c r="M140" i="14" s="1"/>
  <c r="K141" i="15" l="1"/>
  <c r="M141" i="15" s="1"/>
  <c r="N141" i="15" s="1"/>
  <c r="L142" i="15" s="1"/>
  <c r="H149" i="15"/>
  <c r="I148" i="15"/>
  <c r="N140" i="14"/>
  <c r="L141" i="14" s="1"/>
  <c r="K141" i="14" s="1"/>
  <c r="M141" i="14" s="1"/>
  <c r="K142" i="15" l="1"/>
  <c r="M142" i="15" s="1"/>
  <c r="N142" i="15" s="1"/>
  <c r="L143" i="15" s="1"/>
  <c r="H150" i="15"/>
  <c r="I149" i="15"/>
  <c r="N141" i="14"/>
  <c r="L142" i="14" s="1"/>
  <c r="K142" i="14" s="1"/>
  <c r="M142" i="14" s="1"/>
  <c r="H151" i="15" l="1"/>
  <c r="I150" i="15"/>
  <c r="K143" i="15"/>
  <c r="M143" i="15" s="1"/>
  <c r="N143" i="15" s="1"/>
  <c r="L144" i="15" s="1"/>
  <c r="N142" i="14"/>
  <c r="L143" i="14" s="1"/>
  <c r="K143" i="14" s="1"/>
  <c r="M143" i="14" s="1"/>
  <c r="K144" i="15" l="1"/>
  <c r="M144" i="15" s="1"/>
  <c r="N144" i="15" s="1"/>
  <c r="L145" i="15" s="1"/>
  <c r="H152" i="15"/>
  <c r="I151" i="15"/>
  <c r="N143" i="14"/>
  <c r="L144" i="14" s="1"/>
  <c r="K144" i="14" s="1"/>
  <c r="M144" i="14" s="1"/>
  <c r="K145" i="15" l="1"/>
  <c r="M145" i="15" s="1"/>
  <c r="N145" i="15" s="1"/>
  <c r="L146" i="15" s="1"/>
  <c r="H153" i="15"/>
  <c r="I152" i="15"/>
  <c r="N144" i="14"/>
  <c r="L145" i="14" s="1"/>
  <c r="K145" i="14" s="1"/>
  <c r="M145" i="14" s="1"/>
  <c r="K146" i="15" l="1"/>
  <c r="M146" i="15" s="1"/>
  <c r="N146" i="15" s="1"/>
  <c r="L147" i="15" s="1"/>
  <c r="H154" i="15"/>
  <c r="I153" i="15"/>
  <c r="N145" i="14"/>
  <c r="L146" i="14" s="1"/>
  <c r="K146" i="14" s="1"/>
  <c r="M146" i="14" s="1"/>
  <c r="K147" i="15" l="1"/>
  <c r="M147" i="15" s="1"/>
  <c r="N147" i="15" s="1"/>
  <c r="L148" i="15" s="1"/>
  <c r="H155" i="15"/>
  <c r="I154" i="15"/>
  <c r="N146" i="14"/>
  <c r="L147" i="14" s="1"/>
  <c r="K147" i="14" s="1"/>
  <c r="M147" i="14" s="1"/>
  <c r="H156" i="15" l="1"/>
  <c r="I155" i="15"/>
  <c r="K148" i="15"/>
  <c r="M148" i="15" s="1"/>
  <c r="N148" i="15" s="1"/>
  <c r="L149" i="15" s="1"/>
  <c r="N147" i="14"/>
  <c r="L148" i="14" s="1"/>
  <c r="K148" i="14" s="1"/>
  <c r="M148" i="14" s="1"/>
  <c r="K149" i="15" l="1"/>
  <c r="M149" i="15" s="1"/>
  <c r="N149" i="15" s="1"/>
  <c r="L150" i="15" s="1"/>
  <c r="H157" i="15"/>
  <c r="I156" i="15"/>
  <c r="N148" i="14"/>
  <c r="L149" i="14" s="1"/>
  <c r="K149" i="14" s="1"/>
  <c r="M149" i="14" s="1"/>
  <c r="K150" i="15" l="1"/>
  <c r="M150" i="15" s="1"/>
  <c r="N150" i="15" s="1"/>
  <c r="L151" i="15" s="1"/>
  <c r="H158" i="15"/>
  <c r="I157" i="15"/>
  <c r="N149" i="14"/>
  <c r="L150" i="14" s="1"/>
  <c r="K150" i="14" s="1"/>
  <c r="M150" i="14" s="1"/>
  <c r="H159" i="15" l="1"/>
  <c r="I158" i="15"/>
  <c r="K151" i="15"/>
  <c r="M151" i="15" s="1"/>
  <c r="N151" i="15" s="1"/>
  <c r="L152" i="15" s="1"/>
  <c r="N150" i="14"/>
  <c r="L151" i="14" s="1"/>
  <c r="K151" i="14" s="1"/>
  <c r="M151" i="14" s="1"/>
  <c r="K152" i="15" l="1"/>
  <c r="M152" i="15" s="1"/>
  <c r="N152" i="15" s="1"/>
  <c r="L153" i="15" s="1"/>
  <c r="H160" i="15"/>
  <c r="I159" i="15"/>
  <c r="N151" i="14"/>
  <c r="L152" i="14" s="1"/>
  <c r="K152" i="14" s="1"/>
  <c r="M152" i="14" s="1"/>
  <c r="K153" i="15" l="1"/>
  <c r="M153" i="15" s="1"/>
  <c r="N153" i="15" s="1"/>
  <c r="L154" i="15" s="1"/>
  <c r="H161" i="15"/>
  <c r="I160" i="15"/>
  <c r="N152" i="14"/>
  <c r="L153" i="14" s="1"/>
  <c r="K153" i="14" s="1"/>
  <c r="M153" i="14" s="1"/>
  <c r="K154" i="15" l="1"/>
  <c r="M154" i="15" s="1"/>
  <c r="N154" i="15" s="1"/>
  <c r="L155" i="15" s="1"/>
  <c r="H162" i="15"/>
  <c r="I161" i="15"/>
  <c r="N153" i="14"/>
  <c r="L154" i="14" s="1"/>
  <c r="K154" i="14" s="1"/>
  <c r="M154" i="14" s="1"/>
  <c r="K155" i="15" l="1"/>
  <c r="M155" i="15" s="1"/>
  <c r="N155" i="15" s="1"/>
  <c r="L156" i="15" s="1"/>
  <c r="H163" i="15"/>
  <c r="I162" i="15"/>
  <c r="N154" i="14"/>
  <c r="L155" i="14" s="1"/>
  <c r="K155" i="14" s="1"/>
  <c r="M155" i="14" s="1"/>
  <c r="K156" i="15" l="1"/>
  <c r="M156" i="15" s="1"/>
  <c r="N156" i="15" s="1"/>
  <c r="L157" i="15" s="1"/>
  <c r="H164" i="15"/>
  <c r="I163" i="15"/>
  <c r="N155" i="14"/>
  <c r="L156" i="14" s="1"/>
  <c r="K156" i="14" s="1"/>
  <c r="M156" i="14" s="1"/>
  <c r="H165" i="15" l="1"/>
  <c r="I164" i="15"/>
  <c r="K157" i="15"/>
  <c r="M157" i="15" s="1"/>
  <c r="N157" i="15" s="1"/>
  <c r="L158" i="15" s="1"/>
  <c r="N156" i="14"/>
  <c r="L157" i="14" s="1"/>
  <c r="K158" i="15" l="1"/>
  <c r="M158" i="15" s="1"/>
  <c r="N158" i="15" s="1"/>
  <c r="L159" i="15" s="1"/>
  <c r="H166" i="15"/>
  <c r="I165" i="15"/>
  <c r="K157" i="14"/>
  <c r="M157" i="14" s="1"/>
  <c r="N157" i="14" s="1"/>
  <c r="L158" i="14" s="1"/>
  <c r="K158" i="14" s="1"/>
  <c r="M158" i="14" s="1"/>
  <c r="H167" i="15" l="1"/>
  <c r="I166" i="15"/>
  <c r="K159" i="15"/>
  <c r="M159" i="15" s="1"/>
  <c r="N159" i="15" s="1"/>
  <c r="L160" i="15" s="1"/>
  <c r="N158" i="14"/>
  <c r="L159" i="14" s="1"/>
  <c r="K159" i="14" s="1"/>
  <c r="M159" i="14" s="1"/>
  <c r="K160" i="15" l="1"/>
  <c r="M160" i="15" s="1"/>
  <c r="N160" i="15" s="1"/>
  <c r="L161" i="15" s="1"/>
  <c r="H168" i="15"/>
  <c r="I167" i="15"/>
  <c r="N159" i="14"/>
  <c r="L160" i="14" s="1"/>
  <c r="K160" i="14" s="1"/>
  <c r="M160" i="14" s="1"/>
  <c r="K161" i="15" l="1"/>
  <c r="M161" i="15" s="1"/>
  <c r="N161" i="15" s="1"/>
  <c r="L162" i="15" s="1"/>
  <c r="H169" i="15"/>
  <c r="I168" i="15"/>
  <c r="N160" i="14"/>
  <c r="L161" i="14" s="1"/>
  <c r="K162" i="15" l="1"/>
  <c r="M162" i="15" s="1"/>
  <c r="N162" i="15" s="1"/>
  <c r="L163" i="15" s="1"/>
  <c r="H170" i="15"/>
  <c r="I169" i="15"/>
  <c r="K161" i="14"/>
  <c r="M161" i="14" s="1"/>
  <c r="N161" i="14" s="1"/>
  <c r="L162" i="14" s="1"/>
  <c r="K162" i="14" s="1"/>
  <c r="M162" i="14" s="1"/>
  <c r="K163" i="15" l="1"/>
  <c r="M163" i="15" s="1"/>
  <c r="N163" i="15" s="1"/>
  <c r="L164" i="15" s="1"/>
  <c r="H171" i="15"/>
  <c r="I170" i="15"/>
  <c r="N162" i="14"/>
  <c r="L163" i="14" s="1"/>
  <c r="K163" i="14" s="1"/>
  <c r="M163" i="14" s="1"/>
  <c r="K164" i="15" l="1"/>
  <c r="M164" i="15" s="1"/>
  <c r="N164" i="15" s="1"/>
  <c r="L165" i="15" s="1"/>
  <c r="H172" i="15"/>
  <c r="I171" i="15"/>
  <c r="N163" i="14"/>
  <c r="L164" i="14" s="1"/>
  <c r="K165" i="15" l="1"/>
  <c r="M165" i="15" s="1"/>
  <c r="N165" i="15" s="1"/>
  <c r="L166" i="15" s="1"/>
  <c r="H173" i="15"/>
  <c r="I172" i="15"/>
  <c r="K164" i="14"/>
  <c r="M164" i="14" s="1"/>
  <c r="N164" i="14" s="1"/>
  <c r="L165" i="14" s="1"/>
  <c r="K165" i="14" s="1"/>
  <c r="M165" i="14" s="1"/>
  <c r="K166" i="15" l="1"/>
  <c r="M166" i="15" s="1"/>
  <c r="N166" i="15" s="1"/>
  <c r="L167" i="15" s="1"/>
  <c r="H174" i="15"/>
  <c r="I173" i="15"/>
  <c r="N165" i="14"/>
  <c r="L166" i="14" s="1"/>
  <c r="K167" i="15" l="1"/>
  <c r="M167" i="15" s="1"/>
  <c r="N167" i="15" s="1"/>
  <c r="L168" i="15" s="1"/>
  <c r="H175" i="15"/>
  <c r="I174" i="15"/>
  <c r="K166" i="14"/>
  <c r="M166" i="14" s="1"/>
  <c r="N166" i="14" s="1"/>
  <c r="L167" i="14" s="1"/>
  <c r="K168" i="15" l="1"/>
  <c r="M168" i="15" s="1"/>
  <c r="N168" i="15" s="1"/>
  <c r="L169" i="15" s="1"/>
  <c r="H176" i="15"/>
  <c r="I175" i="15"/>
  <c r="K167" i="14"/>
  <c r="M167" i="14" s="1"/>
  <c r="N167" i="14" s="1"/>
  <c r="L168" i="14" s="1"/>
  <c r="K169" i="15" l="1"/>
  <c r="M169" i="15" s="1"/>
  <c r="N169" i="15" s="1"/>
  <c r="L170" i="15" s="1"/>
  <c r="H177" i="15"/>
  <c r="I176" i="15"/>
  <c r="K168" i="14"/>
  <c r="M168" i="14" s="1"/>
  <c r="N168" i="14" s="1"/>
  <c r="L169" i="14" s="1"/>
  <c r="K170" i="15" l="1"/>
  <c r="M170" i="15" s="1"/>
  <c r="N170" i="15" s="1"/>
  <c r="L171" i="15" s="1"/>
  <c r="H178" i="15"/>
  <c r="I177" i="15"/>
  <c r="K169" i="14"/>
  <c r="M169" i="14" s="1"/>
  <c r="N169" i="14" s="1"/>
  <c r="L170" i="14" s="1"/>
  <c r="K171" i="15" l="1"/>
  <c r="M171" i="15" s="1"/>
  <c r="N171" i="15" s="1"/>
  <c r="L172" i="15" s="1"/>
  <c r="H179" i="15"/>
  <c r="I178" i="15"/>
  <c r="K170" i="14"/>
  <c r="M170" i="14" s="1"/>
  <c r="N170" i="14" s="1"/>
  <c r="L171" i="14" s="1"/>
  <c r="K171" i="14" s="1"/>
  <c r="M171" i="14" s="1"/>
  <c r="K172" i="15" l="1"/>
  <c r="M172" i="15" s="1"/>
  <c r="N172" i="15" s="1"/>
  <c r="L173" i="15" s="1"/>
  <c r="H180" i="15"/>
  <c r="I179" i="15"/>
  <c r="N171" i="14"/>
  <c r="L172" i="14" s="1"/>
  <c r="K173" i="15" l="1"/>
  <c r="M173" i="15" s="1"/>
  <c r="N173" i="15" s="1"/>
  <c r="L174" i="15" s="1"/>
  <c r="H181" i="15"/>
  <c r="I180" i="15"/>
  <c r="K172" i="14"/>
  <c r="M172" i="14" s="1"/>
  <c r="N172" i="14" s="1"/>
  <c r="L173" i="14" s="1"/>
  <c r="H182" i="15" l="1"/>
  <c r="I181" i="15"/>
  <c r="K174" i="15"/>
  <c r="M174" i="15" s="1"/>
  <c r="N174" i="15" s="1"/>
  <c r="L175" i="15" s="1"/>
  <c r="K173" i="14"/>
  <c r="M173" i="14" s="1"/>
  <c r="N173" i="14" s="1"/>
  <c r="L174" i="14" s="1"/>
  <c r="K175" i="15" l="1"/>
  <c r="M175" i="15" s="1"/>
  <c r="N175" i="15" s="1"/>
  <c r="L176" i="15" s="1"/>
  <c r="H183" i="15"/>
  <c r="I182" i="15"/>
  <c r="K174" i="14"/>
  <c r="M174" i="14" s="1"/>
  <c r="N174" i="14" s="1"/>
  <c r="L175" i="14" s="1"/>
  <c r="K176" i="15" l="1"/>
  <c r="M176" i="15" s="1"/>
  <c r="N176" i="15" s="1"/>
  <c r="L177" i="15" s="1"/>
  <c r="H184" i="15"/>
  <c r="I183" i="15"/>
  <c r="K175" i="14"/>
  <c r="M175" i="14" s="1"/>
  <c r="N175" i="14" s="1"/>
  <c r="L176" i="14" s="1"/>
  <c r="K177" i="15" l="1"/>
  <c r="M177" i="15" s="1"/>
  <c r="N177" i="15" s="1"/>
  <c r="L178" i="15" s="1"/>
  <c r="H185" i="15"/>
  <c r="I185" i="15" s="1"/>
  <c r="I184" i="15"/>
  <c r="K176" i="14"/>
  <c r="M176" i="14" s="1"/>
  <c r="N176" i="14" s="1"/>
  <c r="L177" i="14" s="1"/>
  <c r="K178" i="15" l="1"/>
  <c r="M178" i="15" s="1"/>
  <c r="N178" i="15" s="1"/>
  <c r="L179" i="15" s="1"/>
  <c r="K177" i="14"/>
  <c r="M177" i="14" s="1"/>
  <c r="N177" i="14" s="1"/>
  <c r="L178" i="14" s="1"/>
  <c r="K179" i="15" l="1"/>
  <c r="M179" i="15" s="1"/>
  <c r="N179" i="15" s="1"/>
  <c r="L180" i="15" s="1"/>
  <c r="K178" i="14"/>
  <c r="M178" i="14" s="1"/>
  <c r="N178" i="14" s="1"/>
  <c r="L179" i="14" s="1"/>
  <c r="K180" i="15" l="1"/>
  <c r="M180" i="15" s="1"/>
  <c r="N180" i="15" s="1"/>
  <c r="L181" i="15" s="1"/>
  <c r="K179" i="14"/>
  <c r="M179" i="14" s="1"/>
  <c r="N179" i="14" s="1"/>
  <c r="L180" i="14" s="1"/>
  <c r="K181" i="15" l="1"/>
  <c r="M181" i="15" s="1"/>
  <c r="N181" i="15" s="1"/>
  <c r="L182" i="15" s="1"/>
  <c r="K180" i="14"/>
  <c r="M180" i="14" s="1"/>
  <c r="N180" i="14" s="1"/>
  <c r="L181" i="14" s="1"/>
  <c r="K182" i="15" l="1"/>
  <c r="M182" i="15" s="1"/>
  <c r="N182" i="15" s="1"/>
  <c r="L183" i="15" s="1"/>
  <c r="K181" i="14"/>
  <c r="M181" i="14" s="1"/>
  <c r="N181" i="14" s="1"/>
  <c r="L182" i="14" s="1"/>
  <c r="K183" i="15" l="1"/>
  <c r="M183" i="15" s="1"/>
  <c r="N183" i="15" s="1"/>
  <c r="L184" i="15" s="1"/>
  <c r="K182" i="14"/>
  <c r="M182" i="14" s="1"/>
  <c r="N182" i="14" s="1"/>
  <c r="L183" i="14" s="1"/>
  <c r="K184" i="15" l="1"/>
  <c r="M184" i="15" s="1"/>
  <c r="N184" i="15" s="1"/>
  <c r="L185" i="15" s="1"/>
  <c r="K183" i="14"/>
  <c r="M183" i="14" s="1"/>
  <c r="N183" i="14" s="1"/>
  <c r="L184" i="14" s="1"/>
  <c r="K185" i="15" l="1"/>
  <c r="M185" i="15" s="1"/>
  <c r="N185" i="15" s="1"/>
  <c r="E13" i="15"/>
  <c r="G26" i="13" s="1"/>
  <c r="H26" i="13" s="1"/>
  <c r="G30" i="13" s="1"/>
  <c r="K184" i="14"/>
  <c r="M184" i="14" s="1"/>
  <c r="N184" i="14" s="1"/>
  <c r="L185" i="14" s="1"/>
  <c r="K185" i="14" l="1"/>
  <c r="M185" i="14" s="1"/>
  <c r="N185" i="14" s="1"/>
  <c r="E13" i="14"/>
  <c r="G27" i="2" s="1"/>
  <c r="AB3" i="2" s="1"/>
  <c r="AJ3" i="2" l="1"/>
  <c r="AJ14" i="2" s="1"/>
  <c r="AJ18" i="2" s="1"/>
  <c r="AB14" i="2"/>
  <c r="AB18" i="2" s="1"/>
  <c r="AB21" i="2" l="1"/>
  <c r="AB23" i="2"/>
  <c r="J27" i="2"/>
  <c r="D44" i="2"/>
  <c r="J56" i="2" s="1"/>
  <c r="AJ23" i="2"/>
  <c r="AJ21" i="2"/>
  <c r="D7" i="4" l="1"/>
  <c r="AB26" i="2"/>
  <c r="AB31" i="2" s="1"/>
  <c r="Q23" i="2"/>
  <c r="F20" i="5"/>
  <c r="O14" i="4"/>
  <c r="AJ26" i="2"/>
  <c r="AJ33" i="2" s="1"/>
  <c r="E27" i="2"/>
  <c r="E30" i="2" s="1"/>
  <c r="U19" i="2" l="1"/>
  <c r="J10" i="4"/>
  <c r="J11" i="4" s="1"/>
  <c r="O4" i="4" s="1"/>
  <c r="U18" i="2"/>
  <c r="AB33" i="2"/>
  <c r="C27" i="2" s="1"/>
  <c r="F44" i="2" s="1"/>
  <c r="F54" i="2" s="1"/>
  <c r="AB27" i="2"/>
  <c r="D27" i="2" s="1"/>
  <c r="C47" i="2" s="1"/>
  <c r="AJ31" i="2"/>
  <c r="AJ27" i="2"/>
  <c r="O17" i="4"/>
  <c r="P14" i="4"/>
  <c r="F15" i="4" l="1"/>
  <c r="D15" i="4"/>
  <c r="D16" i="4" s="1"/>
  <c r="G38" i="4" s="1"/>
  <c r="I27" i="2"/>
  <c r="E44" i="2" s="1"/>
  <c r="E54" i="2" s="1"/>
  <c r="Q24" i="2"/>
  <c r="Q25" i="2" s="1"/>
  <c r="Q27" i="2" s="1"/>
  <c r="K27" i="2" s="1"/>
  <c r="J21" i="2"/>
  <c r="J20" i="13" s="1"/>
  <c r="K39" i="2"/>
  <c r="E25" i="5"/>
  <c r="K44" i="2"/>
  <c r="O20" i="4"/>
  <c r="O19" i="4"/>
  <c r="D39" i="2" l="1"/>
  <c r="G51" i="4"/>
  <c r="E24" i="5"/>
  <c r="G32" i="4"/>
  <c r="J22" i="2"/>
  <c r="L23" i="12"/>
  <c r="L24" i="12" s="1"/>
  <c r="Q14" i="4"/>
  <c r="L23" i="6"/>
  <c r="L24" i="6" s="1"/>
  <c r="F19" i="6" l="1"/>
  <c r="L18" i="6"/>
  <c r="F18" i="6" s="1"/>
  <c r="D12" i="6"/>
  <c r="G47" i="4"/>
  <c r="U18" i="13"/>
  <c r="U17" i="13"/>
  <c r="D8" i="4"/>
  <c r="L18" i="12"/>
  <c r="F52" i="12" s="1"/>
  <c r="F53" i="12"/>
  <c r="D12" i="12" l="1"/>
  <c r="S14" i="6"/>
  <c r="S31" i="6"/>
  <c r="S17" i="6"/>
  <c r="S18" i="6"/>
  <c r="S28" i="6"/>
  <c r="S36" i="6"/>
  <c r="S32" i="6"/>
  <c r="S4" i="6"/>
  <c r="S37" i="6"/>
  <c r="S8" i="6"/>
  <c r="S7" i="6"/>
  <c r="S21" i="6"/>
  <c r="S13" i="6"/>
  <c r="S15" i="6"/>
  <c r="S22" i="6"/>
  <c r="S30" i="6"/>
  <c r="S6" i="6"/>
  <c r="S24" i="6"/>
  <c r="S11" i="6"/>
  <c r="S29" i="6"/>
  <c r="S38" i="6"/>
  <c r="S9" i="6"/>
  <c r="S16" i="6"/>
  <c r="S26" i="6"/>
  <c r="S20" i="6"/>
  <c r="D13" i="6"/>
  <c r="D13" i="12" s="1"/>
  <c r="BB15" i="12" s="1"/>
  <c r="BB17" i="12" s="1"/>
  <c r="S39" i="6"/>
  <c r="S35" i="6"/>
  <c r="S25" i="6"/>
  <c r="S33" i="6"/>
  <c r="S34" i="6"/>
  <c r="S23" i="6"/>
  <c r="S12" i="6"/>
  <c r="S5" i="6"/>
  <c r="S19" i="6"/>
  <c r="S40" i="6"/>
  <c r="S10" i="6"/>
  <c r="S27" i="6"/>
  <c r="X23" i="2"/>
  <c r="X25" i="2"/>
  <c r="X26" i="2"/>
  <c r="X27" i="2"/>
  <c r="X22" i="2"/>
  <c r="X24" i="2"/>
  <c r="X25" i="13"/>
  <c r="X24" i="13"/>
  <c r="X22" i="13"/>
  <c r="X26" i="13"/>
  <c r="X23" i="13"/>
  <c r="X21" i="13"/>
  <c r="W25" i="13"/>
  <c r="W22" i="13"/>
  <c r="W24" i="13"/>
  <c r="W23" i="13"/>
  <c r="W21" i="13"/>
  <c r="W23" i="2"/>
  <c r="W24" i="2"/>
  <c r="W26" i="2"/>
  <c r="W22" i="2"/>
  <c r="W25" i="2"/>
  <c r="W20" i="13" l="1"/>
  <c r="X20" i="13"/>
  <c r="H32" i="13" s="1"/>
  <c r="W21" i="2"/>
  <c r="X21" i="2"/>
  <c r="H35" i="2" s="1"/>
  <c r="AR34" i="6"/>
  <c r="V34" i="6"/>
  <c r="U34" i="6"/>
  <c r="AR11" i="6"/>
  <c r="U11" i="6"/>
  <c r="V11" i="6"/>
  <c r="AR7" i="6"/>
  <c r="U7" i="6"/>
  <c r="V7" i="6"/>
  <c r="AR32" i="6"/>
  <c r="V32" i="6"/>
  <c r="U32" i="6"/>
  <c r="AR17" i="6"/>
  <c r="U17" i="6"/>
  <c r="V17" i="6"/>
  <c r="AR27" i="6"/>
  <c r="U27" i="6"/>
  <c r="V27" i="6"/>
  <c r="AR5" i="6"/>
  <c r="U5" i="6"/>
  <c r="V5" i="6"/>
  <c r="AR33" i="6"/>
  <c r="U33" i="6"/>
  <c r="V33" i="6"/>
  <c r="AR9" i="6"/>
  <c r="V9" i="6"/>
  <c r="U9" i="6"/>
  <c r="AR24" i="6"/>
  <c r="U24" i="6"/>
  <c r="V24" i="6"/>
  <c r="AR15" i="6"/>
  <c r="U15" i="6"/>
  <c r="V15" i="6"/>
  <c r="AR8" i="6"/>
  <c r="U8" i="6"/>
  <c r="V8" i="6"/>
  <c r="AR36" i="6"/>
  <c r="U36" i="6"/>
  <c r="V36" i="6"/>
  <c r="AR31" i="6"/>
  <c r="V31" i="6"/>
  <c r="U31" i="6"/>
  <c r="AR16" i="6"/>
  <c r="U16" i="6"/>
  <c r="V16" i="6"/>
  <c r="AR12" i="6"/>
  <c r="V12" i="6"/>
  <c r="U12" i="6"/>
  <c r="AR38" i="6"/>
  <c r="V38" i="6"/>
  <c r="U38" i="6"/>
  <c r="AR6" i="6"/>
  <c r="U6" i="6"/>
  <c r="V6" i="6"/>
  <c r="AR13" i="6"/>
  <c r="V13" i="6"/>
  <c r="U13" i="6"/>
  <c r="AR37" i="6"/>
  <c r="U37" i="6"/>
  <c r="V37" i="6"/>
  <c r="AR28" i="6"/>
  <c r="U28" i="6"/>
  <c r="V28" i="6"/>
  <c r="AR14" i="6"/>
  <c r="V14" i="6"/>
  <c r="U14" i="6"/>
  <c r="AR19" i="6"/>
  <c r="V19" i="6"/>
  <c r="U19" i="6"/>
  <c r="U39" i="6"/>
  <c r="V39" i="6"/>
  <c r="AR39" i="6"/>
  <c r="AR22" i="6"/>
  <c r="U22" i="6"/>
  <c r="V22" i="6"/>
  <c r="AR10" i="6"/>
  <c r="U10" i="6"/>
  <c r="V10" i="6"/>
  <c r="AR25" i="6"/>
  <c r="U25" i="6"/>
  <c r="V25" i="6"/>
  <c r="AR20" i="6"/>
  <c r="U20" i="6"/>
  <c r="V20" i="6"/>
  <c r="AR40" i="6"/>
  <c r="U40" i="6"/>
  <c r="V40" i="6"/>
  <c r="AR23" i="6"/>
  <c r="V23" i="6"/>
  <c r="U23" i="6"/>
  <c r="AR35" i="6"/>
  <c r="V35" i="6"/>
  <c r="U35" i="6"/>
  <c r="AR26" i="6"/>
  <c r="U26" i="6"/>
  <c r="V26" i="6"/>
  <c r="AR29" i="6"/>
  <c r="V29" i="6"/>
  <c r="U29" i="6"/>
  <c r="AR30" i="6"/>
  <c r="U30" i="6"/>
  <c r="V30" i="6"/>
  <c r="AR21" i="6"/>
  <c r="V21" i="6"/>
  <c r="U21" i="6"/>
  <c r="AR4" i="6"/>
  <c r="U4" i="6"/>
  <c r="V4" i="6"/>
  <c r="AR18" i="6"/>
  <c r="V18" i="6"/>
  <c r="U18" i="6"/>
  <c r="S5" i="12"/>
  <c r="S15" i="12"/>
  <c r="S23" i="12"/>
  <c r="S12" i="12"/>
  <c r="S13" i="12"/>
  <c r="S39" i="12"/>
  <c r="S8" i="12"/>
  <c r="S42" i="12"/>
  <c r="S22" i="12"/>
  <c r="S43" i="12"/>
  <c r="S29" i="12"/>
  <c r="S34" i="12"/>
  <c r="S16" i="12"/>
  <c r="S40" i="12"/>
  <c r="S10" i="12"/>
  <c r="S18" i="12"/>
  <c r="S41" i="12"/>
  <c r="S11" i="12"/>
  <c r="S4" i="12"/>
  <c r="S33" i="12"/>
  <c r="S37" i="12"/>
  <c r="S17" i="12"/>
  <c r="S30" i="12"/>
  <c r="S6" i="12"/>
  <c r="S20" i="12"/>
  <c r="S7" i="12"/>
  <c r="S28" i="12"/>
  <c r="S35" i="12"/>
  <c r="S21" i="12"/>
  <c r="S9" i="12"/>
  <c r="S36" i="12"/>
  <c r="S24" i="12"/>
  <c r="S19" i="12"/>
  <c r="S31" i="12"/>
  <c r="S44" i="12"/>
  <c r="S25" i="12"/>
  <c r="S14" i="12"/>
  <c r="BB19" i="12" l="1"/>
  <c r="D32" i="12" s="1"/>
  <c r="X11" i="6"/>
  <c r="Y4" i="6"/>
  <c r="Y26" i="6"/>
  <c r="Y20" i="6"/>
  <c r="Y37" i="6"/>
  <c r="Y8" i="6"/>
  <c r="Y33" i="6"/>
  <c r="X32" i="6"/>
  <c r="X34" i="6"/>
  <c r="Y35" i="6"/>
  <c r="X25" i="6"/>
  <c r="Y19" i="6"/>
  <c r="Y13" i="6"/>
  <c r="X16" i="6"/>
  <c r="X15" i="6"/>
  <c r="X5" i="6"/>
  <c r="X7" i="6"/>
  <c r="Y30" i="6"/>
  <c r="X23" i="6"/>
  <c r="Y10" i="6"/>
  <c r="X14" i="6"/>
  <c r="Y6" i="6"/>
  <c r="X31" i="6"/>
  <c r="Y24" i="6"/>
  <c r="Y27" i="6"/>
  <c r="Y18" i="6"/>
  <c r="Y29" i="6"/>
  <c r="X40" i="6"/>
  <c r="X22" i="6"/>
  <c r="X28" i="6"/>
  <c r="Y38" i="6"/>
  <c r="X36" i="6"/>
  <c r="Y9" i="6"/>
  <c r="X17" i="6"/>
  <c r="V14" i="12"/>
  <c r="AR14" i="12"/>
  <c r="U14" i="12"/>
  <c r="V21" i="12"/>
  <c r="AR21" i="12"/>
  <c r="U21" i="12"/>
  <c r="V41" i="12"/>
  <c r="U41" i="12"/>
  <c r="AR41" i="12"/>
  <c r="U13" i="12"/>
  <c r="AR13" i="12"/>
  <c r="V13" i="12"/>
  <c r="AU30" i="6"/>
  <c r="AV30" i="6"/>
  <c r="AV23" i="6"/>
  <c r="AU23" i="6"/>
  <c r="AV10" i="6"/>
  <c r="AU10" i="6"/>
  <c r="AV6" i="6"/>
  <c r="AU6" i="6"/>
  <c r="Y12" i="6"/>
  <c r="X12" i="6"/>
  <c r="AV24" i="6"/>
  <c r="AU24" i="6"/>
  <c r="AU27" i="6"/>
  <c r="AV27" i="6"/>
  <c r="U24" i="12"/>
  <c r="V24" i="12"/>
  <c r="AR24" i="12"/>
  <c r="U35" i="12"/>
  <c r="AR35" i="12"/>
  <c r="V35" i="12"/>
  <c r="U6" i="12"/>
  <c r="AR6" i="12"/>
  <c r="V6" i="12"/>
  <c r="U33" i="12"/>
  <c r="V33" i="12"/>
  <c r="AR33" i="12"/>
  <c r="V18" i="12"/>
  <c r="AR18" i="12"/>
  <c r="U18" i="12"/>
  <c r="U34" i="12"/>
  <c r="AR34" i="12"/>
  <c r="V34" i="12"/>
  <c r="U42" i="12"/>
  <c r="V42" i="12"/>
  <c r="AR42" i="12"/>
  <c r="V12" i="12"/>
  <c r="AR12" i="12"/>
  <c r="U12" i="12"/>
  <c r="X18" i="6"/>
  <c r="X4" i="6"/>
  <c r="AU21" i="6"/>
  <c r="AV21" i="6"/>
  <c r="X29" i="6"/>
  <c r="X26" i="6"/>
  <c r="AV35" i="6"/>
  <c r="AU35" i="6"/>
  <c r="Y40" i="6"/>
  <c r="X20" i="6"/>
  <c r="AU25" i="6"/>
  <c r="AV25" i="6"/>
  <c r="Y22" i="6"/>
  <c r="X39" i="6"/>
  <c r="Y39" i="6"/>
  <c r="AU19" i="6"/>
  <c r="AV19" i="6"/>
  <c r="Y28" i="6"/>
  <c r="X37" i="6"/>
  <c r="AU13" i="6"/>
  <c r="AV13" i="6"/>
  <c r="X38" i="6"/>
  <c r="AV16" i="6"/>
  <c r="AU16" i="6"/>
  <c r="Y36" i="6"/>
  <c r="X8" i="6"/>
  <c r="AU15" i="6"/>
  <c r="AV15" i="6"/>
  <c r="X9" i="6"/>
  <c r="X33" i="6"/>
  <c r="AU5" i="6"/>
  <c r="AV5" i="6"/>
  <c r="Y17" i="6"/>
  <c r="Y32" i="6"/>
  <c r="AV7" i="6"/>
  <c r="AU7" i="6"/>
  <c r="AR20" i="12"/>
  <c r="V20" i="12"/>
  <c r="U20" i="12"/>
  <c r="V16" i="12"/>
  <c r="AR16" i="12"/>
  <c r="U16" i="12"/>
  <c r="AU39" i="6"/>
  <c r="AV39" i="6"/>
  <c r="V44" i="12"/>
  <c r="AR44" i="12"/>
  <c r="U44" i="12"/>
  <c r="V28" i="12"/>
  <c r="AR28" i="12"/>
  <c r="U28" i="12"/>
  <c r="AR29" i="12"/>
  <c r="U29" i="12"/>
  <c r="V29" i="12"/>
  <c r="AV4" i="6"/>
  <c r="AU4" i="6"/>
  <c r="AV20" i="6"/>
  <c r="AU20" i="6"/>
  <c r="AV37" i="6"/>
  <c r="AU37" i="6"/>
  <c r="AV12" i="6"/>
  <c r="AU12" i="6"/>
  <c r="AV8" i="6"/>
  <c r="AU8" i="6"/>
  <c r="AV33" i="6"/>
  <c r="AU33" i="6"/>
  <c r="AV32" i="6"/>
  <c r="AU32" i="6"/>
  <c r="Y11" i="6"/>
  <c r="Y34" i="6"/>
  <c r="U19" i="12"/>
  <c r="V19" i="12"/>
  <c r="AR19" i="12"/>
  <c r="U37" i="12"/>
  <c r="AR37" i="12"/>
  <c r="V37" i="12"/>
  <c r="U22" i="12"/>
  <c r="V22" i="12"/>
  <c r="AR22" i="12"/>
  <c r="U5" i="12"/>
  <c r="AR5" i="12"/>
  <c r="V5" i="12"/>
  <c r="AU14" i="6"/>
  <c r="AV14" i="6"/>
  <c r="AV31" i="6"/>
  <c r="AU31" i="6"/>
  <c r="AU11" i="6"/>
  <c r="AV11" i="6"/>
  <c r="AR25" i="12"/>
  <c r="V25" i="12"/>
  <c r="U25" i="12"/>
  <c r="V36" i="12"/>
  <c r="AR36" i="12"/>
  <c r="U36" i="12"/>
  <c r="AR30" i="12"/>
  <c r="V30" i="12"/>
  <c r="U30" i="12"/>
  <c r="AR4" i="12"/>
  <c r="V4" i="12"/>
  <c r="U4" i="12"/>
  <c r="V10" i="12"/>
  <c r="AR10" i="12"/>
  <c r="U10" i="12"/>
  <c r="V8" i="12"/>
  <c r="AR8" i="12"/>
  <c r="U8" i="12"/>
  <c r="AR23" i="12"/>
  <c r="U23" i="12"/>
  <c r="V23" i="12"/>
  <c r="AV26" i="6"/>
  <c r="AU26" i="6"/>
  <c r="U31" i="12"/>
  <c r="AR31" i="12"/>
  <c r="V31" i="12"/>
  <c r="AR9" i="12"/>
  <c r="U9" i="12"/>
  <c r="V9" i="12"/>
  <c r="AR7" i="12"/>
  <c r="U7" i="12"/>
  <c r="V7" i="12"/>
  <c r="U17" i="12"/>
  <c r="V17" i="12"/>
  <c r="AR17" i="12"/>
  <c r="U11" i="12"/>
  <c r="V11" i="12"/>
  <c r="AR11" i="12"/>
  <c r="V40" i="12"/>
  <c r="U40" i="12"/>
  <c r="AR40" i="12"/>
  <c r="V43" i="12"/>
  <c r="AR43" i="12"/>
  <c r="U43" i="12"/>
  <c r="U39" i="12"/>
  <c r="AR39" i="12"/>
  <c r="V39" i="12"/>
  <c r="AR15" i="12"/>
  <c r="V15" i="12"/>
  <c r="U15" i="12"/>
  <c r="AV18" i="6"/>
  <c r="AU18" i="6"/>
  <c r="Y21" i="6"/>
  <c r="X21" i="6"/>
  <c r="X30" i="6"/>
  <c r="AV29" i="6"/>
  <c r="AU29" i="6"/>
  <c r="X35" i="6"/>
  <c r="Y23" i="6"/>
  <c r="AU40" i="6"/>
  <c r="AV40" i="6"/>
  <c r="Y25" i="6"/>
  <c r="X10" i="6"/>
  <c r="AV22" i="6"/>
  <c r="AU22" i="6"/>
  <c r="X19" i="6"/>
  <c r="Y14" i="6"/>
  <c r="AV28" i="6"/>
  <c r="AU28" i="6"/>
  <c r="X13" i="6"/>
  <c r="X6" i="6"/>
  <c r="AU38" i="6"/>
  <c r="AV38" i="6"/>
  <c r="Y16" i="6"/>
  <c r="Y31" i="6"/>
  <c r="AV36" i="6"/>
  <c r="AU36" i="6"/>
  <c r="Y15" i="6"/>
  <c r="X24" i="6"/>
  <c r="AV9" i="6"/>
  <c r="AU9" i="6"/>
  <c r="Y5" i="6"/>
  <c r="X27" i="6"/>
  <c r="AV17" i="6"/>
  <c r="AU17" i="6"/>
  <c r="Y7" i="6"/>
  <c r="AU34" i="6"/>
  <c r="AV34" i="6"/>
  <c r="X7" i="12" l="1"/>
  <c r="Y4" i="12"/>
  <c r="X19" i="12"/>
  <c r="Y20" i="12"/>
  <c r="Y43" i="12"/>
  <c r="Y5" i="12"/>
  <c r="X37" i="12"/>
  <c r="Y44" i="12"/>
  <c r="Y18" i="12"/>
  <c r="Y6" i="12"/>
  <c r="Y9" i="12"/>
  <c r="Y23" i="12"/>
  <c r="X30" i="12"/>
  <c r="Y42" i="12"/>
  <c r="X29" i="12"/>
  <c r="Y15" i="12"/>
  <c r="X25" i="12"/>
  <c r="X16" i="12"/>
  <c r="Y24" i="12"/>
  <c r="X41" i="12"/>
  <c r="AU43" i="12"/>
  <c r="AV43" i="12"/>
  <c r="AU9" i="12"/>
  <c r="AV9" i="12"/>
  <c r="Y10" i="12"/>
  <c r="X10" i="12"/>
  <c r="AV37" i="12"/>
  <c r="AU37" i="12"/>
  <c r="Y28" i="12"/>
  <c r="X28" i="12"/>
  <c r="AU44" i="12"/>
  <c r="AV44" i="12"/>
  <c r="X34" i="12"/>
  <c r="Y34" i="12"/>
  <c r="AU18" i="12"/>
  <c r="AV18" i="12"/>
  <c r="X35" i="12"/>
  <c r="Y35" i="12"/>
  <c r="X13" i="12"/>
  <c r="Y13" i="12"/>
  <c r="X15" i="12"/>
  <c r="AU39" i="12"/>
  <c r="AV39" i="12"/>
  <c r="AU11" i="12"/>
  <c r="AV11" i="12"/>
  <c r="X17" i="12"/>
  <c r="Y17" i="12"/>
  <c r="AU7" i="12"/>
  <c r="AV7" i="12"/>
  <c r="X31" i="12"/>
  <c r="Y31" i="12"/>
  <c r="Y8" i="12"/>
  <c r="X8" i="12"/>
  <c r="AU10" i="12"/>
  <c r="AV10" i="12"/>
  <c r="AU4" i="12"/>
  <c r="AV4" i="12"/>
  <c r="Y36" i="12"/>
  <c r="X36" i="12"/>
  <c r="Y25" i="12"/>
  <c r="X22" i="12"/>
  <c r="Y22" i="12"/>
  <c r="Y29" i="12"/>
  <c r="AV28" i="12"/>
  <c r="AU28" i="12"/>
  <c r="AU16" i="12"/>
  <c r="AV16" i="12"/>
  <c r="AU20" i="12"/>
  <c r="AV20" i="12"/>
  <c r="AV42" i="12"/>
  <c r="AU42" i="12"/>
  <c r="AU34" i="12"/>
  <c r="AV34" i="12"/>
  <c r="AV35" i="12"/>
  <c r="AU35" i="12"/>
  <c r="X24" i="12"/>
  <c r="AV13" i="12"/>
  <c r="AU13" i="12"/>
  <c r="Y41" i="12"/>
  <c r="Y14" i="12"/>
  <c r="X14" i="12"/>
  <c r="X39" i="12"/>
  <c r="Y39" i="12"/>
  <c r="AU30" i="12"/>
  <c r="AV30" i="12"/>
  <c r="AU8" i="12"/>
  <c r="AV8" i="12"/>
  <c r="AV5" i="12"/>
  <c r="AU5" i="12"/>
  <c r="Y16" i="12"/>
  <c r="Y12" i="12"/>
  <c r="X12" i="12"/>
  <c r="AV33" i="12"/>
  <c r="AU33" i="12"/>
  <c r="AV6" i="12"/>
  <c r="AU6" i="12"/>
  <c r="Y21" i="12"/>
  <c r="X21" i="12"/>
  <c r="AU14" i="12"/>
  <c r="AV14" i="12"/>
  <c r="AU17" i="12"/>
  <c r="AV17" i="12"/>
  <c r="AV23" i="12"/>
  <c r="AU23" i="12"/>
  <c r="AV22" i="12"/>
  <c r="AU22" i="12"/>
  <c r="AU40" i="12"/>
  <c r="AV40" i="12"/>
  <c r="X11" i="12"/>
  <c r="Y11" i="12"/>
  <c r="AV31" i="12"/>
  <c r="AU31" i="12"/>
  <c r="AV36" i="12"/>
  <c r="AU36" i="12"/>
  <c r="AU25" i="12"/>
  <c r="AV25" i="12"/>
  <c r="AV19" i="12"/>
  <c r="AU19" i="12"/>
  <c r="AV15" i="12"/>
  <c r="AU15" i="12"/>
  <c r="X43" i="12"/>
  <c r="Y40" i="12"/>
  <c r="X40" i="12"/>
  <c r="Y7" i="12"/>
  <c r="X9" i="12"/>
  <c r="X23" i="12"/>
  <c r="X4" i="12"/>
  <c r="Y30" i="12"/>
  <c r="X5" i="12"/>
  <c r="Y37" i="12"/>
  <c r="Y19" i="12"/>
  <c r="AV29" i="12"/>
  <c r="AU29" i="12"/>
  <c r="X44" i="12"/>
  <c r="X20" i="12"/>
  <c r="AV12" i="12"/>
  <c r="AU12" i="12"/>
  <c r="X42" i="12"/>
  <c r="X18" i="12"/>
  <c r="X33" i="12"/>
  <c r="Y33" i="12"/>
  <c r="X6" i="12"/>
  <c r="AU24" i="12"/>
  <c r="AV24" i="12"/>
  <c r="AV41" i="12"/>
  <c r="AU41" i="12"/>
  <c r="AV21" i="12"/>
  <c r="AU21" i="12"/>
</calcChain>
</file>

<file path=xl/sharedStrings.xml><?xml version="1.0" encoding="utf-8"?>
<sst xmlns="http://schemas.openxmlformats.org/spreadsheetml/2006/main" count="771" uniqueCount="338">
  <si>
    <t>Input Parameters</t>
  </si>
  <si>
    <t>Designer Input</t>
  </si>
  <si>
    <t>Revision 00</t>
  </si>
  <si>
    <t>Step 2 Operating Conditions</t>
  </si>
  <si>
    <t>Package</t>
  </si>
  <si>
    <t>Fault Pin</t>
  </si>
  <si>
    <t>Fmax Pin</t>
  </si>
  <si>
    <t>OTP</t>
  </si>
  <si>
    <t>Freq Clamp</t>
  </si>
  <si>
    <t>Vcc OVP</t>
  </si>
  <si>
    <t>Ifb Pullup</t>
  </si>
  <si>
    <t>PEM</t>
  </si>
  <si>
    <t>Yes</t>
  </si>
  <si>
    <t>No</t>
  </si>
  <si>
    <t>SOIC8</t>
  </si>
  <si>
    <t>Latched</t>
  </si>
  <si>
    <t>Auto-Restart</t>
  </si>
  <si>
    <t>none</t>
  </si>
  <si>
    <t>1.3kHz</t>
  </si>
  <si>
    <t>Color Coding Legend</t>
  </si>
  <si>
    <t>Results</t>
  </si>
  <si>
    <t>Information</t>
  </si>
  <si>
    <t>Warnings</t>
  </si>
  <si>
    <t>Maximum Input Voltage</t>
  </si>
  <si>
    <t>Line Frequency</t>
  </si>
  <si>
    <t>Output Power</t>
  </si>
  <si>
    <t>Watts</t>
  </si>
  <si>
    <t>Hz</t>
  </si>
  <si>
    <t>Minimum Input Voltage</t>
  </si>
  <si>
    <t>%</t>
  </si>
  <si>
    <t>Output Voltage</t>
  </si>
  <si>
    <t xml:space="preserve">Maximum Output Current </t>
  </si>
  <si>
    <t>Overcurrent Protection</t>
  </si>
  <si>
    <t>Minimum Operating Frequency</t>
  </si>
  <si>
    <t>kHz</t>
  </si>
  <si>
    <t>Volts</t>
  </si>
  <si>
    <t>Volts ac</t>
  </si>
  <si>
    <t>Volts dc</t>
  </si>
  <si>
    <t>Amps dc</t>
  </si>
  <si>
    <t>Use the Pulldown menu in the Green box to select your controller parameters</t>
  </si>
  <si>
    <t>Line Period</t>
  </si>
  <si>
    <t>ms</t>
  </si>
  <si>
    <t>This is worst case @ low line</t>
  </si>
  <si>
    <t>Target Pri/Sec Turns Ratio</t>
  </si>
  <si>
    <t>Target Efficiency</t>
  </si>
  <si>
    <t>Low Line Operating Conditions</t>
  </si>
  <si>
    <t>Duty Cycle</t>
  </si>
  <si>
    <t>Fsw (kHz)</t>
  </si>
  <si>
    <t>Minimum Operating HVDC</t>
  </si>
  <si>
    <t>RMS FET Current (A)</t>
  </si>
  <si>
    <t>Peak FET Current (A)</t>
  </si>
  <si>
    <r>
      <t>On Time (</t>
    </r>
    <r>
      <rPr>
        <b/>
        <sz val="16"/>
        <color theme="1"/>
        <rFont val="Calibri"/>
        <family val="2"/>
      </rPr>
      <t>µs)</t>
    </r>
  </si>
  <si>
    <t>Max HVDC (V)</t>
  </si>
  <si>
    <t>Min HVDC (V)</t>
  </si>
  <si>
    <r>
      <t>Cbulk Min (</t>
    </r>
    <r>
      <rPr>
        <b/>
        <sz val="16"/>
        <color theme="1"/>
        <rFont val="Calibri"/>
        <family val="2"/>
      </rPr>
      <t>µF)</t>
    </r>
  </si>
  <si>
    <t>FET Peak Voltage</t>
  </si>
  <si>
    <t>Output Rectifier PIV</t>
  </si>
  <si>
    <r>
      <t xml:space="preserve">Ilim1 </t>
    </r>
    <r>
      <rPr>
        <b/>
        <sz val="12"/>
        <color theme="1"/>
        <rFont val="Calibri"/>
        <family val="2"/>
        <scheme val="minor"/>
      </rPr>
      <t>(Maximum Vcs)</t>
    </r>
  </si>
  <si>
    <r>
      <t>Maximum On Time (</t>
    </r>
    <r>
      <rPr>
        <b/>
        <sz val="16"/>
        <color theme="1"/>
        <rFont val="Calibri"/>
        <family val="2"/>
      </rPr>
      <t>µs)</t>
    </r>
  </si>
  <si>
    <t>High Line Operating Conditions</t>
  </si>
  <si>
    <t>Transformer Requirements</t>
  </si>
  <si>
    <t>Primary Saturation Current (A)</t>
  </si>
  <si>
    <t>Primary-Secondary Turns Ratio</t>
  </si>
  <si>
    <t>Primary-Aux Turns Ratio</t>
  </si>
  <si>
    <r>
      <t>Primary Inductance (</t>
    </r>
    <r>
      <rPr>
        <b/>
        <sz val="16"/>
        <color theme="1"/>
        <rFont val="Calibri"/>
        <family val="2"/>
      </rPr>
      <t>µH)</t>
    </r>
  </si>
  <si>
    <t>Actual Transformer Specifications</t>
  </si>
  <si>
    <t>Minimum</t>
  </si>
  <si>
    <t>Maximum</t>
  </si>
  <si>
    <t>Leakage Inductance Est.</t>
  </si>
  <si>
    <t>Snubber Resistor</t>
  </si>
  <si>
    <t>Snubber Capacitor</t>
  </si>
  <si>
    <r>
      <t>k</t>
    </r>
    <r>
      <rPr>
        <b/>
        <sz val="16"/>
        <color theme="1"/>
        <rFont val="Calibri"/>
        <family val="2"/>
      </rPr>
      <t>Ω</t>
    </r>
  </si>
  <si>
    <t>nF</t>
  </si>
  <si>
    <t>Primary Conduction Losses (W)</t>
  </si>
  <si>
    <t>Secondary Conduction Losses (W)</t>
  </si>
  <si>
    <r>
      <t>Primary DCR (m</t>
    </r>
    <r>
      <rPr>
        <b/>
        <sz val="16"/>
        <color theme="1"/>
        <rFont val="Calibri"/>
        <family val="2"/>
      </rPr>
      <t>Ω)</t>
    </r>
  </si>
  <si>
    <r>
      <t>Secondary DCR (m</t>
    </r>
    <r>
      <rPr>
        <b/>
        <sz val="16"/>
        <color theme="1"/>
        <rFont val="Calibri"/>
        <family val="2"/>
      </rPr>
      <t>Ω)</t>
    </r>
  </si>
  <si>
    <t>Maximum HVDC Voltage</t>
  </si>
  <si>
    <t>As a % of Lpri typ. 1%-5%</t>
  </si>
  <si>
    <t>Step 1 Device Parameter Selection</t>
  </si>
  <si>
    <t>Secondary RMS Current (A)</t>
  </si>
  <si>
    <t>Primary RMS Current (A)</t>
  </si>
  <si>
    <t>Voutput @ Vcc OVP (Volts)</t>
  </si>
  <si>
    <t>Nominal Vcc (Volts)</t>
  </si>
  <si>
    <t>Flyback Transformer Specification</t>
  </si>
  <si>
    <t>Part Number XX-YYYY-ZZ</t>
  </si>
  <si>
    <t>Parameter</t>
  </si>
  <si>
    <t>Min</t>
  </si>
  <si>
    <t>Nom</t>
  </si>
  <si>
    <t>Max</t>
  </si>
  <si>
    <t>Comment</t>
  </si>
  <si>
    <t>Primary/Secondary Turns Ratio</t>
  </si>
  <si>
    <t>Primary/Aux Turns Ratio</t>
  </si>
  <si>
    <t>Primary Inductance (uH)</t>
  </si>
  <si>
    <t>Primary RMS Current (A RMS)</t>
  </si>
  <si>
    <t>Secondary RMS Current (A RMS)</t>
  </si>
  <si>
    <t>Primary w/Secondary shorted</t>
  </si>
  <si>
    <t>Safety Standard</t>
  </si>
  <si>
    <t>Primary-Secondary Hipot</t>
  </si>
  <si>
    <t>Leakage Inductance (uH)</t>
  </si>
  <si>
    <r>
      <t xml:space="preserve">Operating Temperature Range </t>
    </r>
    <r>
      <rPr>
        <sz val="11"/>
        <color theme="1"/>
        <rFont val="Calibri"/>
        <family val="2"/>
      </rPr>
      <t>°C</t>
    </r>
  </si>
  <si>
    <t>UL62368, UL60950</t>
  </si>
  <si>
    <r>
      <t xml:space="preserve">Ambient Temperature Range </t>
    </r>
    <r>
      <rPr>
        <sz val="11"/>
        <color theme="1"/>
        <rFont val="Calibri"/>
        <family val="2"/>
      </rPr>
      <t>°C</t>
    </r>
  </si>
  <si>
    <t>3kV ac</t>
  </si>
  <si>
    <t>1 Minute</t>
  </si>
  <si>
    <t xml:space="preserve">This is a transformer for use in a CrM mode flyback converter used in a DC power supply design.  There are 3 windings: Primary, Secondary and Aux.   The sense winding detects the zero current in the transformer and also provide some housekeeping voltage.  The sense winding does not carry high current.  The AC losses are critical due to the high flux swing in normal operation.  </t>
  </si>
  <si>
    <t>Q @ 100kHz</t>
  </si>
  <si>
    <t>Measured on the Primary</t>
  </si>
  <si>
    <r>
      <t>Primary DCR (m</t>
    </r>
    <r>
      <rPr>
        <sz val="11"/>
        <color theme="1"/>
        <rFont val="Calibri"/>
        <family val="2"/>
      </rPr>
      <t>Ω)</t>
    </r>
  </si>
  <si>
    <r>
      <t>Secondary DCR (m</t>
    </r>
    <r>
      <rPr>
        <sz val="11"/>
        <color theme="1"/>
        <rFont val="Calibri"/>
        <family val="2"/>
      </rPr>
      <t>Ω)</t>
    </r>
  </si>
  <si>
    <t>Flammability</t>
  </si>
  <si>
    <t>UL94V2</t>
  </si>
  <si>
    <t>UL94V0 preferred</t>
  </si>
  <si>
    <t>RoHS</t>
  </si>
  <si>
    <t>RoHS 3 / Directive 2015/863</t>
  </si>
  <si>
    <t>Operating Frequency (kHz)</t>
  </si>
  <si>
    <t>Leak</t>
  </si>
  <si>
    <t>Ip</t>
  </si>
  <si>
    <t>Fsw</t>
  </si>
  <si>
    <t>k</t>
  </si>
  <si>
    <t>Vp</t>
  </si>
  <si>
    <t>Vfly</t>
  </si>
  <si>
    <t>Low Line Snubber Power</t>
  </si>
  <si>
    <t>High Line Snubber Power</t>
  </si>
  <si>
    <t>Rsense</t>
  </si>
  <si>
    <t>LL_Vfb</t>
  </si>
  <si>
    <t>HL_Vfb</t>
  </si>
  <si>
    <t>Ipeak_HL</t>
  </si>
  <si>
    <t>LL</t>
  </si>
  <si>
    <t>HL</t>
  </si>
  <si>
    <t>MOSFET Parameters</t>
  </si>
  <si>
    <r>
      <t>Rds_on (</t>
    </r>
    <r>
      <rPr>
        <b/>
        <sz val="16"/>
        <color theme="1"/>
        <rFont val="Calibri"/>
        <family val="2"/>
      </rPr>
      <t>Ω)</t>
    </r>
    <r>
      <rPr>
        <b/>
        <sz val="16"/>
        <color theme="1"/>
        <rFont val="Calibri"/>
        <family val="2"/>
        <scheme val="minor"/>
      </rPr>
      <t xml:space="preserve"> @ Toperating</t>
    </r>
  </si>
  <si>
    <t>Low Line Conduction Losses (W)</t>
  </si>
  <si>
    <t>High Line Conduction Losses (W)</t>
  </si>
  <si>
    <t>Ω</t>
  </si>
  <si>
    <t>Ring Freq</t>
  </si>
  <si>
    <t>Add Delay</t>
  </si>
  <si>
    <t>Additional Drain Capacitance (pF)</t>
  </si>
  <si>
    <t>us</t>
  </si>
  <si>
    <t>HVDC</t>
  </si>
  <si>
    <t>Vout</t>
  </si>
  <si>
    <t>Lpri</t>
  </si>
  <si>
    <t>Iout</t>
  </si>
  <si>
    <t>tdel</t>
  </si>
  <si>
    <t>Nps</t>
  </si>
  <si>
    <t>Efficiency</t>
  </si>
  <si>
    <t>k1</t>
  </si>
  <si>
    <t>k2</t>
  </si>
  <si>
    <t>Ipri</t>
  </si>
  <si>
    <t>ton</t>
  </si>
  <si>
    <t>toff</t>
  </si>
  <si>
    <t>Ttot</t>
  </si>
  <si>
    <t>Freq</t>
  </si>
  <si>
    <t>Power</t>
  </si>
  <si>
    <t>Duty</t>
  </si>
  <si>
    <t>Low Line</t>
  </si>
  <si>
    <t>High Line</t>
  </si>
  <si>
    <t>Vcs</t>
  </si>
  <si>
    <t>Vaux_HL</t>
  </si>
  <si>
    <t>Vaux_LL</t>
  </si>
  <si>
    <t>Ipeak_LL_OC</t>
  </si>
  <si>
    <t>Ipeak_HL_OC</t>
  </si>
  <si>
    <t>K</t>
  </si>
  <si>
    <t>Vcs_LL</t>
  </si>
  <si>
    <t>Vcs_HL</t>
  </si>
  <si>
    <t>R_ZCD</t>
  </si>
  <si>
    <t>R_OPP_L</t>
  </si>
  <si>
    <t>R_OPP_U</t>
  </si>
  <si>
    <t>OPP Components</t>
  </si>
  <si>
    <t>ZCD Voltage</t>
  </si>
  <si>
    <t>Actual Valley Operation</t>
  </si>
  <si>
    <t>Operating Valley Initial Guess</t>
  </si>
  <si>
    <t>R_Fmax</t>
  </si>
  <si>
    <t>D_ZCD Vbr</t>
  </si>
  <si>
    <t>Rsense Power</t>
  </si>
  <si>
    <t>Current Sense</t>
  </si>
  <si>
    <t>Fmax</t>
  </si>
  <si>
    <t>F_Max Components</t>
  </si>
  <si>
    <t>CVcc</t>
  </si>
  <si>
    <t>Cbulk</t>
  </si>
  <si>
    <t>Cout</t>
  </si>
  <si>
    <t>Csnub</t>
  </si>
  <si>
    <t>D_Br_Rect</t>
  </si>
  <si>
    <t>PC1</t>
  </si>
  <si>
    <t>Qfet</t>
  </si>
  <si>
    <t>Rstart</t>
  </si>
  <si>
    <t>Rtco</t>
  </si>
  <si>
    <t>Dzcd</t>
  </si>
  <si>
    <t>Dout</t>
  </si>
  <si>
    <t>Dstart1,Dstart2,Dvcc,Dsnub</t>
  </si>
  <si>
    <t>C_Pole</t>
  </si>
  <si>
    <t>Cfb</t>
  </si>
  <si>
    <t xml:space="preserve">Rsnub </t>
  </si>
  <si>
    <t>Rfb</t>
  </si>
  <si>
    <t>R_FB_U</t>
  </si>
  <si>
    <t>R_FB_L</t>
  </si>
  <si>
    <t>Ricc</t>
  </si>
  <si>
    <t>Qty</t>
  </si>
  <si>
    <t>Ref Desig.</t>
  </si>
  <si>
    <t>Manufacturer</t>
  </si>
  <si>
    <t>On Semiconductor</t>
  </si>
  <si>
    <t>µF</t>
  </si>
  <si>
    <t>2k 1W</t>
  </si>
  <si>
    <t>ESR</t>
  </si>
  <si>
    <t>CTR</t>
  </si>
  <si>
    <t>Resistors</t>
  </si>
  <si>
    <t xml:space="preserve">Capacitors </t>
  </si>
  <si>
    <t>Optocoupler</t>
  </si>
  <si>
    <t>Vce_sat</t>
  </si>
  <si>
    <t>Plant</t>
  </si>
  <si>
    <t>Vdd</t>
  </si>
  <si>
    <t>Ice_min</t>
  </si>
  <si>
    <t>Ifb</t>
  </si>
  <si>
    <r>
      <t>Rfb Pullup (k</t>
    </r>
    <r>
      <rPr>
        <b/>
        <sz val="18"/>
        <color theme="1"/>
        <rFont val="Calibri"/>
        <family val="2"/>
      </rPr>
      <t>Ω)</t>
    </r>
  </si>
  <si>
    <t>Rfb_pullup</t>
  </si>
  <si>
    <t>Iled_min</t>
  </si>
  <si>
    <t>Ice_max</t>
  </si>
  <si>
    <t>Static Loop Calcs</t>
  </si>
  <si>
    <t>Rthevenin</t>
  </si>
  <si>
    <t>Vthenenin</t>
  </si>
  <si>
    <t>Vfb_0</t>
  </si>
  <si>
    <t>Vf_led_off</t>
  </si>
  <si>
    <t>R22</t>
  </si>
  <si>
    <t>Frequency</t>
  </si>
  <si>
    <t>Zout</t>
  </si>
  <si>
    <t>Plant Phase</t>
  </si>
  <si>
    <t>Plant Gain</t>
  </si>
  <si>
    <t>Vfb @ Full Power</t>
  </si>
  <si>
    <t>Iout/Vfb</t>
  </si>
  <si>
    <t>Output Capacitor Parameters</t>
  </si>
  <si>
    <t>Feedback Circuit Parameters</t>
  </si>
  <si>
    <t>DC Gain</t>
  </si>
  <si>
    <t>Value</t>
  </si>
  <si>
    <t>Reference Schematic</t>
  </si>
  <si>
    <t xml:space="preserve">TL431 </t>
  </si>
  <si>
    <t>C_Pole ESR</t>
  </si>
  <si>
    <t>TL431 Gain</t>
  </si>
  <si>
    <t>1-TL431Gain</t>
  </si>
  <si>
    <t>TL431 Phase</t>
  </si>
  <si>
    <t>Plant Gain X Zout</t>
  </si>
  <si>
    <t>Gain</t>
  </si>
  <si>
    <t>Phase</t>
  </si>
  <si>
    <t>Real</t>
  </si>
  <si>
    <t>Imaginary</t>
  </si>
  <si>
    <t>TL431 + Fast lane</t>
  </si>
  <si>
    <t>Percentage of Current Load</t>
  </si>
  <si>
    <t>Percentage of Resistive Load</t>
  </si>
  <si>
    <t>Rload</t>
  </si>
  <si>
    <t>Pole</t>
  </si>
  <si>
    <t>Zero</t>
  </si>
  <si>
    <t xml:space="preserve">Zero  </t>
  </si>
  <si>
    <r>
      <t xml:space="preserve"> = Max Value of R22 in k</t>
    </r>
    <r>
      <rPr>
        <b/>
        <sz val="16"/>
        <color theme="1"/>
        <rFont val="Calibri"/>
        <family val="2"/>
      </rPr>
      <t>Ω</t>
    </r>
  </si>
  <si>
    <t>mΩ</t>
  </si>
  <si>
    <t>uF</t>
  </si>
  <si>
    <t>Open Loop Gain</t>
  </si>
  <si>
    <t>Opto Output Capacitance</t>
  </si>
  <si>
    <t>Min. Primary Saturation Current (A)</t>
  </si>
  <si>
    <r>
      <t>Primary DCR m</t>
    </r>
    <r>
      <rPr>
        <b/>
        <sz val="16"/>
        <color theme="1"/>
        <rFont val="Calibri"/>
        <family val="2"/>
      </rPr>
      <t>Ω</t>
    </r>
  </si>
  <si>
    <t>Coss (pF) (Time Equivalent)</t>
  </si>
  <si>
    <t>Qg_tot (nC)</t>
  </si>
  <si>
    <t>Vds Derating (%)</t>
  </si>
  <si>
    <t>Vds Rating (Volts)</t>
  </si>
  <si>
    <t>If the actual operating valley and the initial guess agree, then that is the operating valley.  If the actual and initial guess toggle back and forth then, the higher number is the correct valley.</t>
  </si>
  <si>
    <t>Vrrm Min</t>
  </si>
  <si>
    <t>Vds Min</t>
  </si>
  <si>
    <t>Rdson Max</t>
  </si>
  <si>
    <t>If(avg) A</t>
  </si>
  <si>
    <t>SOIC9</t>
  </si>
  <si>
    <r>
      <t>At 110</t>
    </r>
    <r>
      <rPr>
        <b/>
        <sz val="16"/>
        <color theme="1"/>
        <rFont val="Calibri"/>
        <family val="2"/>
      </rPr>
      <t>° C</t>
    </r>
  </si>
  <si>
    <t>Min. 25% Derating</t>
  </si>
  <si>
    <t>Zero dB Crossing</t>
  </si>
  <si>
    <t>Kfb</t>
  </si>
  <si>
    <t>Isen_max</t>
  </si>
  <si>
    <t>TL431 Bias 1mA Nom.</t>
  </si>
  <si>
    <t>Pole @ Origin</t>
  </si>
  <si>
    <t>Low Freq Pole due to Cout</t>
  </si>
  <si>
    <t>High Freq Zero due to ESR of Cout</t>
  </si>
  <si>
    <t>Pole from Rfb &amp; Cfb</t>
  </si>
  <si>
    <t>Zero from R_FB_U &amp; C_Pole</t>
  </si>
  <si>
    <t>Effective opto output capacitance inherent in the optocoupler</t>
  </si>
  <si>
    <t>Rfb_max</t>
  </si>
  <si>
    <r>
      <t xml:space="preserve"> = Min Value of Rfb in k</t>
    </r>
    <r>
      <rPr>
        <b/>
        <sz val="16"/>
        <color theme="1"/>
        <rFont val="Calibri"/>
        <family val="2"/>
      </rPr>
      <t>Ω</t>
    </r>
  </si>
  <si>
    <t>Step 2A Other Operating Conditions</t>
  </si>
  <si>
    <t>C_Comp</t>
  </si>
  <si>
    <t>R_Comp</t>
  </si>
  <si>
    <t>R_Bias</t>
  </si>
  <si>
    <t>R_Opto</t>
  </si>
  <si>
    <t>Zero from R_Comp &amp; C_Comp</t>
  </si>
  <si>
    <r>
      <t xml:space="preserve"> = Max Value of R_Opto in k</t>
    </r>
    <r>
      <rPr>
        <b/>
        <sz val="16"/>
        <color theme="1"/>
        <rFont val="Calibri"/>
        <family val="2"/>
      </rPr>
      <t>Ω</t>
    </r>
  </si>
  <si>
    <r>
      <t>Suggested Primary Inductance (</t>
    </r>
    <r>
      <rPr>
        <b/>
        <sz val="14"/>
        <color theme="1"/>
        <rFont val="Calibri"/>
        <family val="2"/>
      </rPr>
      <t>µH)</t>
    </r>
  </si>
  <si>
    <t>High Line Max Vsens</t>
  </si>
  <si>
    <t>Low Line Max Vsens</t>
  </si>
  <si>
    <t>OVLD</t>
  </si>
  <si>
    <r>
      <t xml:space="preserve">Gate Current @ Low Line </t>
    </r>
    <r>
      <rPr>
        <b/>
        <sz val="16"/>
        <color theme="1"/>
        <rFont val="Calibri"/>
        <family val="2"/>
      </rPr>
      <t>µ</t>
    </r>
    <r>
      <rPr>
        <b/>
        <sz val="14.4"/>
        <color theme="1"/>
        <rFont val="Calibri"/>
        <family val="2"/>
      </rPr>
      <t>A</t>
    </r>
  </si>
  <si>
    <r>
      <t xml:space="preserve">Gate Current @ High Line </t>
    </r>
    <r>
      <rPr>
        <b/>
        <sz val="16"/>
        <color theme="1"/>
        <rFont val="Calibri"/>
        <family val="2"/>
      </rPr>
      <t>µ</t>
    </r>
    <r>
      <rPr>
        <b/>
        <sz val="14.4"/>
        <color theme="1"/>
        <rFont val="Calibri"/>
        <family val="2"/>
      </rPr>
      <t>A</t>
    </r>
  </si>
  <si>
    <t>Vpeak</t>
  </si>
  <si>
    <t>Phase Angle</t>
  </si>
  <si>
    <t>Vin Rect</t>
  </si>
  <si>
    <t>Load Current</t>
  </si>
  <si>
    <t>dT</t>
  </si>
  <si>
    <t>Cap Voltage</t>
  </si>
  <si>
    <t>dQ</t>
  </si>
  <si>
    <t>dV</t>
  </si>
  <si>
    <t>Vmin</t>
  </si>
  <si>
    <r>
      <t>Suggested Cbulk (</t>
    </r>
    <r>
      <rPr>
        <b/>
        <sz val="16"/>
        <color theme="1"/>
        <rFont val="Calibri"/>
        <family val="2"/>
      </rPr>
      <t>µF)</t>
    </r>
  </si>
  <si>
    <t>D_ZCD must be a low leakage/fast recovery diode.</t>
  </si>
  <si>
    <t>Chosen Cbulk (µF)</t>
  </si>
  <si>
    <t>Npri (turns)</t>
  </si>
  <si>
    <t>Bmax (Tesla)</t>
  </si>
  <si>
    <t>Compensator Parameters</t>
  </si>
  <si>
    <t>Fcross</t>
  </si>
  <si>
    <t>dB</t>
  </si>
  <si>
    <t>Ropto</t>
  </si>
  <si>
    <t>Suggested R_Opto</t>
  </si>
  <si>
    <t>C_comp</t>
  </si>
  <si>
    <t>Suggested C_Comp</t>
  </si>
  <si>
    <t>Target Crossover Frequency</t>
  </si>
  <si>
    <t>Rfb pole</t>
  </si>
  <si>
    <t>C_ZCD</t>
  </si>
  <si>
    <t>See Note 1</t>
  </si>
  <si>
    <t>C_CS</t>
  </si>
  <si>
    <t>R_CS</t>
  </si>
  <si>
    <t>Notes</t>
  </si>
  <si>
    <t>1.  Component values require optimization based on in circuit measurements</t>
  </si>
  <si>
    <t>CTR %</t>
  </si>
  <si>
    <t>NCP134x Design Guide</t>
  </si>
  <si>
    <t>This is a design guide for the NCP134x1 QR (quasi-resonant) flyback controllers.  It is intended to give the designer basic operating conditions and aid in component selection.  This is not a guarantee of performance.  Information in this design guide is color coded so that the designer can quickly identify input information, results, warnings, and general information.</t>
  </si>
  <si>
    <t>Output Diode Vf</t>
  </si>
  <si>
    <t>Plant gain @ cross Over</t>
  </si>
  <si>
    <t>Prop Delay + Ilim Delay</t>
  </si>
  <si>
    <t>Iovershoot_HL</t>
  </si>
  <si>
    <t>Iovershoot_LL</t>
  </si>
  <si>
    <t>A</t>
  </si>
  <si>
    <t>HL Opp</t>
  </si>
  <si>
    <t>External Propagation Delay</t>
  </si>
  <si>
    <t>ns</t>
  </si>
  <si>
    <r>
      <t>Ae (cm</t>
    </r>
    <r>
      <rPr>
        <b/>
        <vertAlign val="superscript"/>
        <sz val="16"/>
        <color theme="1"/>
        <rFont val="Calibri"/>
        <family val="2"/>
        <scheme val="minor"/>
      </rPr>
      <t>2)</t>
    </r>
  </si>
  <si>
    <t>Revision A</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</si>
</sst>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
    <numFmt numFmtId="165" formatCode="0.0"/>
    <numFmt numFmtId="166" formatCode="0.000"/>
  </numFmts>
  <fonts count="44" x14ac:knownFonts="1">
    <font>
      <sz val="11"/>
      <color theme="1"/>
      <name val="Calibri"/>
      <family val="2"/>
      <scheme val="minor"/>
    </font>
    <font>
      <b/>
      <sz val="24"/>
      <color theme="1"/>
      <name val="Calibri"/>
      <family val="2"/>
      <scheme val="minor"/>
    </font>
    <font>
      <sz val="16"/>
      <color theme="1"/>
      <name val="Calibri"/>
      <family val="2"/>
      <scheme val="minor"/>
    </font>
    <font>
      <b/>
      <sz val="16"/>
      <color theme="1"/>
      <name val="Calibri"/>
      <family val="2"/>
      <scheme val="minor"/>
    </font>
    <font>
      <b/>
      <sz val="20"/>
      <color theme="1"/>
      <name val="Calibri"/>
      <family val="2"/>
      <scheme val="minor"/>
    </font>
    <font>
      <sz val="14"/>
      <color theme="1"/>
      <name val="Calibri"/>
      <family val="2"/>
      <scheme val="minor"/>
    </font>
    <font>
      <b/>
      <sz val="14"/>
      <color theme="1"/>
      <name val="Calibri"/>
      <family val="2"/>
      <scheme val="minor"/>
    </font>
    <font>
      <b/>
      <sz val="22"/>
      <color theme="1"/>
      <name val="Calibri"/>
      <family val="2"/>
      <scheme val="minor"/>
    </font>
    <font>
      <b/>
      <sz val="36"/>
      <color theme="1"/>
      <name val="Calibri"/>
      <family val="2"/>
      <scheme val="minor"/>
    </font>
    <font>
      <b/>
      <sz val="18"/>
      <color theme="1"/>
      <name val="Calibri"/>
      <family val="2"/>
      <scheme val="minor"/>
    </font>
    <font>
      <b/>
      <sz val="48"/>
      <color theme="1"/>
      <name val="Calibri"/>
      <family val="2"/>
      <scheme val="minor"/>
    </font>
    <font>
      <b/>
      <sz val="12"/>
      <color theme="1"/>
      <name val="Calibri"/>
      <family val="2"/>
      <scheme val="minor"/>
    </font>
    <font>
      <b/>
      <sz val="16"/>
      <color theme="1"/>
      <name val="Calibri"/>
      <family val="2"/>
    </font>
    <font>
      <b/>
      <sz val="16"/>
      <color rgb="FFFF0000"/>
      <name val="Calibri"/>
      <family val="2"/>
      <scheme val="minor"/>
    </font>
    <font>
      <sz val="16"/>
      <color theme="0"/>
      <name val="Calibri"/>
      <family val="2"/>
      <scheme val="minor"/>
    </font>
    <font>
      <sz val="11"/>
      <color theme="1"/>
      <name val="Calibri"/>
      <family val="2"/>
    </font>
    <font>
      <sz val="10"/>
      <color rgb="FF333333"/>
      <name val="Verdana"/>
      <family val="2"/>
    </font>
    <font>
      <b/>
      <sz val="16"/>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9"/>
      <color rgb="FF333333"/>
      <name val="Arial"/>
      <family val="2"/>
    </font>
    <font>
      <b/>
      <sz val="18"/>
      <color theme="1"/>
      <name val="Calibri"/>
      <family val="2"/>
    </font>
    <font>
      <b/>
      <sz val="26"/>
      <color theme="1"/>
      <name val="Calibri"/>
      <family val="2"/>
      <scheme val="minor"/>
    </font>
    <font>
      <b/>
      <sz val="11"/>
      <color rgb="FFFF0000"/>
      <name val="Calibri"/>
      <family val="2"/>
      <scheme val="minor"/>
    </font>
    <font>
      <b/>
      <sz val="14"/>
      <color rgb="FFFF0000"/>
      <name val="Calibri"/>
      <family val="2"/>
      <scheme val="minor"/>
    </font>
    <font>
      <b/>
      <sz val="14"/>
      <color theme="1"/>
      <name val="Calibri"/>
      <family val="2"/>
    </font>
    <font>
      <b/>
      <sz val="14.4"/>
      <color theme="1"/>
      <name val="Calibri"/>
      <family val="2"/>
    </font>
    <font>
      <b/>
      <vertAlign val="superscript"/>
      <sz val="16"/>
      <color theme="1"/>
      <name val="Calibri"/>
      <family val="2"/>
      <scheme val="minor"/>
    </font>
    <font>
      <b/>
      <sz val="12"/>
      <color rgb="FFFF0000"/>
      <name val="Calibri"/>
      <family val="2"/>
      <scheme val="minor"/>
    </font>
  </fonts>
  <fills count="44">
    <fill>
      <patternFill patternType="none"/>
    </fill>
    <fill>
      <patternFill patternType="gray125"/>
    </fill>
    <fill>
      <patternFill patternType="solid">
        <fgColor theme="0" tint="-0.34998626667073579"/>
        <bgColor indexed="64"/>
      </patternFill>
    </fill>
    <fill>
      <patternFill patternType="solid">
        <fgColor rgb="FFFFFF00"/>
        <bgColor indexed="64"/>
      </patternFill>
    </fill>
    <fill>
      <patternFill patternType="solid">
        <fgColor rgb="FF92D050"/>
        <bgColor indexed="64"/>
      </patternFill>
    </fill>
    <fill>
      <patternFill patternType="solid">
        <fgColor theme="4" tint="0.59999389629810485"/>
        <bgColor indexed="64"/>
      </patternFill>
    </fill>
    <fill>
      <patternFill patternType="solid">
        <fgColor theme="1"/>
        <bgColor indexed="64"/>
      </patternFill>
    </fill>
    <fill>
      <patternFill patternType="solid">
        <fgColor rgb="FF00B0F0"/>
        <bgColor indexed="64"/>
      </patternFill>
    </fill>
    <fill>
      <patternFill patternType="solid">
        <fgColor theme="4" tint="0.39997558519241921"/>
        <bgColor indexed="64"/>
      </patternFill>
    </fill>
    <fill>
      <patternFill patternType="solid">
        <fgColor rgb="FFFF0000"/>
        <bgColor indexed="64"/>
      </patternFill>
    </fill>
    <fill>
      <patternFill patternType="solid">
        <fgColor theme="8" tint="0.59999389629810485"/>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FF"/>
        <bgColor indexed="64"/>
      </patternFill>
    </fill>
    <fill>
      <patternFill patternType="solid">
        <fgColor theme="0"/>
        <bgColor indexed="64"/>
      </patternFill>
    </fill>
  </fills>
  <borders count="3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indexed="64"/>
      </top>
      <bottom style="thin">
        <color indexed="64"/>
      </bottom>
      <diagonal/>
    </border>
    <border>
      <left style="thin">
        <color indexed="64"/>
      </left>
      <right/>
      <top/>
      <bottom/>
      <diagonal/>
    </border>
    <border>
      <left/>
      <right/>
      <top/>
      <bottom style="medium">
        <color rgb="FFE8E4E3"/>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s>
  <cellStyleXfs count="42">
    <xf numFmtId="0" fontId="0" fillId="0" borderId="0"/>
    <xf numFmtId="0" fontId="19" fillId="0" borderId="0" applyNumberFormat="0" applyFill="0" applyBorder="0" applyAlignment="0" applyProtection="0"/>
    <xf numFmtId="0" fontId="20" fillId="0" borderId="20" applyNumberFormat="0" applyFill="0" applyAlignment="0" applyProtection="0"/>
    <xf numFmtId="0" fontId="21" fillId="0" borderId="21" applyNumberFormat="0" applyFill="0" applyAlignment="0" applyProtection="0"/>
    <xf numFmtId="0" fontId="22" fillId="0" borderId="22" applyNumberFormat="0" applyFill="0" applyAlignment="0" applyProtection="0"/>
    <xf numFmtId="0" fontId="22" fillId="0" borderId="0" applyNumberFormat="0" applyFill="0" applyBorder="0" applyAlignment="0" applyProtection="0"/>
    <xf numFmtId="0" fontId="23" fillId="11" borderId="0" applyNumberFormat="0" applyBorder="0" applyAlignment="0" applyProtection="0"/>
    <xf numFmtId="0" fontId="24" fillId="12" borderId="0" applyNumberFormat="0" applyBorder="0" applyAlignment="0" applyProtection="0"/>
    <xf numFmtId="0" fontId="25" fillId="13" borderId="0" applyNumberFormat="0" applyBorder="0" applyAlignment="0" applyProtection="0"/>
    <xf numFmtId="0" fontId="26" fillId="14" borderId="23" applyNumberFormat="0" applyAlignment="0" applyProtection="0"/>
    <xf numFmtId="0" fontId="27" fillId="15" borderId="24" applyNumberFormat="0" applyAlignment="0" applyProtection="0"/>
    <xf numFmtId="0" fontId="28" fillId="15" borderId="23" applyNumberFormat="0" applyAlignment="0" applyProtection="0"/>
    <xf numFmtId="0" fontId="29" fillId="0" borderId="25" applyNumberFormat="0" applyFill="0" applyAlignment="0" applyProtection="0"/>
    <xf numFmtId="0" fontId="30" fillId="16" borderId="26" applyNumberFormat="0" applyAlignment="0" applyProtection="0"/>
    <xf numFmtId="0" fontId="31" fillId="0" borderId="0" applyNumberFormat="0" applyFill="0" applyBorder="0" applyAlignment="0" applyProtection="0"/>
    <xf numFmtId="0" fontId="18" fillId="17" borderId="27" applyNumberFormat="0" applyFont="0" applyAlignment="0" applyProtection="0"/>
    <xf numFmtId="0" fontId="32" fillId="0" borderId="0" applyNumberFormat="0" applyFill="0" applyBorder="0" applyAlignment="0" applyProtection="0"/>
    <xf numFmtId="0" fontId="33" fillId="0" borderId="28" applyNumberFormat="0" applyFill="0" applyAlignment="0" applyProtection="0"/>
    <xf numFmtId="0" fontId="34" fillId="18" borderId="0" applyNumberFormat="0" applyBorder="0" applyAlignment="0" applyProtection="0"/>
    <xf numFmtId="0" fontId="18" fillId="19" borderId="0" applyNumberFormat="0" applyBorder="0" applyAlignment="0" applyProtection="0"/>
    <xf numFmtId="0" fontId="18" fillId="20" borderId="0" applyNumberFormat="0" applyBorder="0" applyAlignment="0" applyProtection="0"/>
    <xf numFmtId="0" fontId="34" fillId="21" borderId="0" applyNumberFormat="0" applyBorder="0" applyAlignment="0" applyProtection="0"/>
    <xf numFmtId="0" fontId="34" fillId="22" borderId="0" applyNumberFormat="0" applyBorder="0" applyAlignment="0" applyProtection="0"/>
    <xf numFmtId="0" fontId="18" fillId="23" borderId="0" applyNumberFormat="0" applyBorder="0" applyAlignment="0" applyProtection="0"/>
    <xf numFmtId="0" fontId="18" fillId="24" borderId="0" applyNumberFormat="0" applyBorder="0" applyAlignment="0" applyProtection="0"/>
    <xf numFmtId="0" fontId="34" fillId="25" borderId="0" applyNumberFormat="0" applyBorder="0" applyAlignment="0" applyProtection="0"/>
    <xf numFmtId="0" fontId="34" fillId="26" borderId="0" applyNumberFormat="0" applyBorder="0" applyAlignment="0" applyProtection="0"/>
    <xf numFmtId="0" fontId="18" fillId="27" borderId="0" applyNumberFormat="0" applyBorder="0" applyAlignment="0" applyProtection="0"/>
    <xf numFmtId="0" fontId="18" fillId="28" borderId="0" applyNumberFormat="0" applyBorder="0" applyAlignment="0" applyProtection="0"/>
    <xf numFmtId="0" fontId="34" fillId="29" borderId="0" applyNumberFormat="0" applyBorder="0" applyAlignment="0" applyProtection="0"/>
    <xf numFmtId="0" fontId="34" fillId="30" borderId="0" applyNumberFormat="0" applyBorder="0" applyAlignment="0" applyProtection="0"/>
    <xf numFmtId="0" fontId="18" fillId="31" borderId="0" applyNumberFormat="0" applyBorder="0" applyAlignment="0" applyProtection="0"/>
    <xf numFmtId="0" fontId="18" fillId="32" borderId="0" applyNumberFormat="0" applyBorder="0" applyAlignment="0" applyProtection="0"/>
    <xf numFmtId="0" fontId="34" fillId="33" borderId="0" applyNumberFormat="0" applyBorder="0" applyAlignment="0" applyProtection="0"/>
    <xf numFmtId="0" fontId="34" fillId="34" borderId="0" applyNumberFormat="0" applyBorder="0" applyAlignment="0" applyProtection="0"/>
    <xf numFmtId="0" fontId="18" fillId="35" borderId="0" applyNumberFormat="0" applyBorder="0" applyAlignment="0" applyProtection="0"/>
    <xf numFmtId="0" fontId="18" fillId="36" borderId="0" applyNumberFormat="0" applyBorder="0" applyAlignment="0" applyProtection="0"/>
    <xf numFmtId="0" fontId="34" fillId="37" borderId="0" applyNumberFormat="0" applyBorder="0" applyAlignment="0" applyProtection="0"/>
    <xf numFmtId="0" fontId="34" fillId="38" borderId="0" applyNumberFormat="0" applyBorder="0" applyAlignment="0" applyProtection="0"/>
    <xf numFmtId="0" fontId="18" fillId="39" borderId="0" applyNumberFormat="0" applyBorder="0" applyAlignment="0" applyProtection="0"/>
    <xf numFmtId="0" fontId="18" fillId="40" borderId="0" applyNumberFormat="0" applyBorder="0" applyAlignment="0" applyProtection="0"/>
    <xf numFmtId="0" fontId="34" fillId="41" borderId="0" applyNumberFormat="0" applyBorder="0" applyAlignment="0" applyProtection="0"/>
  </cellStyleXfs>
  <cellXfs count="478">
    <xf numFmtId="0" fontId="0" fillId="0" borderId="0" xfId="0"/>
    <xf numFmtId="0" fontId="0" fillId="6" borderId="0" xfId="0" applyFill="1"/>
    <xf numFmtId="0" fontId="0" fillId="0" borderId="0" xfId="0" applyAlignment="1">
      <alignment horizontal="center" vertical="center"/>
    </xf>
    <xf numFmtId="0" fontId="6" fillId="0" borderId="0" xfId="0" applyFont="1" applyAlignment="1">
      <alignment horizontal="center" vertical="center"/>
    </xf>
    <xf numFmtId="0" fontId="5" fillId="8" borderId="4" xfId="0" applyFont="1" applyFill="1" applyBorder="1" applyAlignment="1">
      <alignment horizontal="center" vertical="center"/>
    </xf>
    <xf numFmtId="0" fontId="6" fillId="6" borderId="0" xfId="0" applyFont="1" applyFill="1" applyAlignment="1">
      <alignment horizontal="center" vertical="center"/>
    </xf>
    <xf numFmtId="0" fontId="6" fillId="4" borderId="4" xfId="0" applyFont="1" applyFill="1" applyBorder="1" applyAlignment="1" applyProtection="1">
      <alignment horizontal="center" vertical="center"/>
      <protection locked="0"/>
    </xf>
    <xf numFmtId="0" fontId="7" fillId="6" borderId="0" xfId="0" applyFont="1" applyFill="1" applyAlignment="1">
      <alignment vertical="center" wrapText="1"/>
    </xf>
    <xf numFmtId="0" fontId="7" fillId="6" borderId="0" xfId="0" applyFont="1" applyFill="1" applyAlignment="1">
      <alignment horizontal="center" vertical="center" wrapText="1"/>
    </xf>
    <xf numFmtId="0" fontId="9" fillId="7" borderId="4" xfId="0" applyFont="1" applyFill="1" applyBorder="1" applyAlignment="1">
      <alignment horizontal="center" vertical="center"/>
    </xf>
    <xf numFmtId="0" fontId="9" fillId="7" borderId="6" xfId="0" applyFont="1" applyFill="1" applyBorder="1" applyAlignment="1">
      <alignment horizontal="center" vertical="center"/>
    </xf>
    <xf numFmtId="0" fontId="2" fillId="0" borderId="0" xfId="0" applyFont="1" applyFill="1" applyAlignment="1">
      <alignment vertical="center"/>
    </xf>
    <xf numFmtId="0" fontId="3" fillId="0" borderId="0" xfId="0" applyFont="1" applyFill="1" applyAlignment="1">
      <alignment vertical="center"/>
    </xf>
    <xf numFmtId="0" fontId="9" fillId="7" borderId="4" xfId="0" applyFont="1" applyFill="1" applyBorder="1" applyAlignment="1">
      <alignment horizontal="center" vertical="center" wrapText="1"/>
    </xf>
    <xf numFmtId="0" fontId="3" fillId="7" borderId="4" xfId="0" applyFont="1" applyFill="1" applyBorder="1" applyAlignment="1">
      <alignment horizontal="center" vertical="center" wrapText="1"/>
    </xf>
    <xf numFmtId="2" fontId="3" fillId="3" borderId="4" xfId="0" applyNumberFormat="1" applyFont="1" applyFill="1" applyBorder="1" applyAlignment="1">
      <alignment horizontal="center"/>
    </xf>
    <xf numFmtId="0" fontId="2" fillId="0" borderId="0" xfId="0" applyFont="1" applyFill="1" applyBorder="1" applyAlignment="1">
      <alignment vertical="center"/>
    </xf>
    <xf numFmtId="0" fontId="1" fillId="6" borderId="0" xfId="0" applyFont="1" applyFill="1" applyBorder="1" applyAlignment="1">
      <alignment vertical="center"/>
    </xf>
    <xf numFmtId="0" fontId="2" fillId="6" borderId="0" xfId="0" applyFont="1" applyFill="1" applyBorder="1" applyAlignment="1">
      <alignment vertical="center"/>
    </xf>
    <xf numFmtId="0" fontId="8" fillId="6" borderId="0" xfId="0" applyFont="1" applyFill="1" applyBorder="1" applyAlignment="1">
      <alignment vertical="center"/>
    </xf>
    <xf numFmtId="0" fontId="3" fillId="6" borderId="4" xfId="0" applyFont="1" applyFill="1" applyBorder="1"/>
    <xf numFmtId="0" fontId="3" fillId="6" borderId="4" xfId="0" applyFont="1" applyFill="1" applyBorder="1" applyAlignment="1">
      <alignment horizontal="left"/>
    </xf>
    <xf numFmtId="0" fontId="3" fillId="6" borderId="4" xfId="0" applyFont="1" applyFill="1" applyBorder="1" applyAlignment="1">
      <alignment horizontal="center"/>
    </xf>
    <xf numFmtId="164" fontId="3" fillId="3" borderId="4" xfId="0" applyNumberFormat="1" applyFont="1" applyFill="1" applyBorder="1" applyAlignment="1">
      <alignment horizontal="center" vertical="center"/>
    </xf>
    <xf numFmtId="0" fontId="3" fillId="10" borderId="4" xfId="0" applyFont="1" applyFill="1" applyBorder="1" applyAlignment="1">
      <alignment horizontal="center" vertical="center"/>
    </xf>
    <xf numFmtId="14" fontId="3" fillId="10" borderId="4" xfId="0" applyNumberFormat="1" applyFont="1" applyFill="1" applyBorder="1" applyAlignment="1">
      <alignment horizontal="center" vertical="center" wrapText="1"/>
    </xf>
    <xf numFmtId="1" fontId="3" fillId="3" borderId="4" xfId="0" applyNumberFormat="1" applyFont="1" applyFill="1" applyBorder="1" applyAlignment="1">
      <alignment horizontal="center" vertical="center"/>
    </xf>
    <xf numFmtId="0" fontId="3" fillId="6" borderId="0" xfId="0" applyFont="1" applyFill="1" applyAlignment="1">
      <alignment vertical="center"/>
    </xf>
    <xf numFmtId="0" fontId="2" fillId="6" borderId="0" xfId="0" applyFont="1" applyFill="1" applyAlignment="1">
      <alignment horizontal="center" vertical="center"/>
    </xf>
    <xf numFmtId="0" fontId="2" fillId="6" borderId="0" xfId="0" applyFont="1" applyFill="1" applyAlignment="1">
      <alignment vertical="center"/>
    </xf>
    <xf numFmtId="2" fontId="3" fillId="6" borderId="0" xfId="0" applyNumberFormat="1" applyFont="1" applyFill="1" applyAlignment="1">
      <alignment horizontal="center" vertical="center"/>
    </xf>
    <xf numFmtId="0" fontId="1" fillId="6" borderId="0" xfId="0" applyFont="1" applyFill="1" applyAlignment="1">
      <alignment vertical="center"/>
    </xf>
    <xf numFmtId="2" fontId="3" fillId="3" borderId="4" xfId="0" applyNumberFormat="1" applyFont="1" applyFill="1" applyBorder="1" applyAlignment="1">
      <alignment horizontal="center" vertical="center"/>
    </xf>
    <xf numFmtId="0" fontId="0" fillId="0" borderId="0" xfId="0" applyAlignment="1">
      <alignment horizontal="center"/>
    </xf>
    <xf numFmtId="0" fontId="3" fillId="0" borderId="0" xfId="0" applyFont="1" applyAlignment="1"/>
    <xf numFmtId="0" fontId="11" fillId="0" borderId="0" xfId="0" applyFont="1"/>
    <xf numFmtId="1" fontId="0" fillId="0" borderId="0" xfId="0" applyNumberFormat="1"/>
    <xf numFmtId="0" fontId="0" fillId="0" borderId="4" xfId="0" applyBorder="1" applyAlignment="1">
      <alignment horizontal="center" vertical="center"/>
    </xf>
    <xf numFmtId="0" fontId="8" fillId="0" borderId="0" xfId="0" applyFont="1" applyAlignment="1">
      <alignment vertical="center"/>
    </xf>
    <xf numFmtId="0" fontId="0" fillId="0" borderId="0" xfId="0" applyBorder="1"/>
    <xf numFmtId="0" fontId="13" fillId="6" borderId="0" xfId="0" applyFont="1" applyFill="1" applyAlignment="1">
      <alignment horizontal="center" vertical="center" wrapText="1"/>
    </xf>
    <xf numFmtId="2" fontId="2" fillId="0" borderId="0" xfId="0" applyNumberFormat="1" applyFont="1" applyFill="1" applyAlignment="1">
      <alignment vertical="center"/>
    </xf>
    <xf numFmtId="1" fontId="2" fillId="0" borderId="0" xfId="0" applyNumberFormat="1" applyFont="1" applyFill="1" applyAlignment="1">
      <alignment vertical="center"/>
    </xf>
    <xf numFmtId="0" fontId="17" fillId="10" borderId="4" xfId="0" applyFont="1" applyFill="1" applyBorder="1" applyAlignment="1">
      <alignment horizontal="center" vertical="center" wrapText="1"/>
    </xf>
    <xf numFmtId="11" fontId="0" fillId="0" borderId="0" xfId="0" applyNumberFormat="1"/>
    <xf numFmtId="165" fontId="3" fillId="3" borderId="8" xfId="0" applyNumberFormat="1" applyFont="1" applyFill="1" applyBorder="1" applyAlignment="1">
      <alignment horizontal="center" vertical="center"/>
    </xf>
    <xf numFmtId="2" fontId="3" fillId="3" borderId="9" xfId="0" applyNumberFormat="1" applyFont="1" applyFill="1" applyBorder="1" applyAlignment="1">
      <alignment horizontal="center" vertical="center"/>
    </xf>
    <xf numFmtId="1" fontId="3" fillId="10" borderId="4" xfId="0" applyNumberFormat="1" applyFont="1" applyFill="1" applyBorder="1" applyAlignment="1">
      <alignment horizontal="center" vertical="center" wrapText="1"/>
    </xf>
    <xf numFmtId="1" fontId="3" fillId="3" borderId="4" xfId="0" applyNumberFormat="1" applyFont="1" applyFill="1" applyBorder="1" applyAlignment="1">
      <alignment horizontal="center" vertical="center" wrapText="1"/>
    </xf>
    <xf numFmtId="164" fontId="3" fillId="6" borderId="0" xfId="0" applyNumberFormat="1" applyFont="1" applyFill="1" applyBorder="1" applyAlignment="1">
      <alignment horizontal="center" vertical="center"/>
    </xf>
    <xf numFmtId="1" fontId="3" fillId="6" borderId="0" xfId="0" applyNumberFormat="1" applyFont="1" applyFill="1" applyBorder="1" applyAlignment="1">
      <alignment horizontal="center" vertical="center"/>
    </xf>
    <xf numFmtId="2" fontId="3" fillId="6" borderId="0" xfId="0" applyNumberFormat="1" applyFont="1" applyFill="1" applyBorder="1" applyAlignment="1">
      <alignment horizontal="center" vertical="center"/>
    </xf>
    <xf numFmtId="165" fontId="3" fillId="6" borderId="0" xfId="0" applyNumberFormat="1" applyFont="1" applyFill="1" applyBorder="1" applyAlignment="1">
      <alignment horizontal="center" vertical="center"/>
    </xf>
    <xf numFmtId="0" fontId="6" fillId="10" borderId="4" xfId="0" applyFont="1" applyFill="1" applyBorder="1" applyAlignment="1">
      <alignment horizontal="center" vertical="center" wrapText="1"/>
    </xf>
    <xf numFmtId="166" fontId="3" fillId="3" borderId="4" xfId="0" applyNumberFormat="1" applyFont="1" applyFill="1" applyBorder="1" applyAlignment="1">
      <alignment horizontal="center" vertical="center"/>
    </xf>
    <xf numFmtId="0" fontId="12" fillId="0" borderId="4" xfId="0" applyFont="1" applyBorder="1" applyAlignment="1">
      <alignment horizontal="center" vertical="center"/>
    </xf>
    <xf numFmtId="0" fontId="3" fillId="0" borderId="4" xfId="0" applyFont="1" applyBorder="1" applyAlignment="1">
      <alignment horizontal="center" vertical="center"/>
    </xf>
    <xf numFmtId="0" fontId="3" fillId="0" borderId="0" xfId="0" applyFont="1" applyAlignment="1">
      <alignment horizontal="center"/>
    </xf>
    <xf numFmtId="0" fontId="15" fillId="0" borderId="0" xfId="0" applyFont="1"/>
    <xf numFmtId="0" fontId="35" fillId="42" borderId="31" xfId="0" applyFont="1" applyFill="1" applyBorder="1" applyAlignment="1">
      <alignment horizontal="center" vertical="top" wrapText="1"/>
    </xf>
    <xf numFmtId="0" fontId="0" fillId="0" borderId="0" xfId="0" applyAlignment="1">
      <alignment horizontal="center"/>
    </xf>
    <xf numFmtId="0" fontId="0" fillId="0" borderId="0" xfId="0" applyAlignment="1"/>
    <xf numFmtId="0" fontId="35" fillId="42" borderId="0" xfId="0" applyFont="1" applyFill="1" applyBorder="1" applyAlignment="1">
      <alignment horizontal="center" vertical="top" wrapText="1"/>
    </xf>
    <xf numFmtId="11" fontId="6" fillId="3" borderId="4" xfId="0" applyNumberFormat="1" applyFont="1" applyFill="1" applyBorder="1" applyAlignment="1">
      <alignment horizontal="center" vertical="center"/>
    </xf>
    <xf numFmtId="0" fontId="0" fillId="0" borderId="0" xfId="0" applyAlignment="1">
      <alignment horizontal="center"/>
    </xf>
    <xf numFmtId="0" fontId="0" fillId="6" borderId="0" xfId="0" applyFill="1" applyAlignment="1">
      <alignment horizontal="center"/>
    </xf>
    <xf numFmtId="0" fontId="0" fillId="6" borderId="0" xfId="0" applyFill="1" applyAlignment="1">
      <alignment horizontal="center" vertical="center"/>
    </xf>
    <xf numFmtId="0" fontId="3" fillId="6" borderId="0" xfId="0" applyFont="1" applyFill="1" applyBorder="1" applyAlignment="1">
      <alignment horizontal="center" vertical="center"/>
    </xf>
    <xf numFmtId="0" fontId="3" fillId="6" borderId="4" xfId="0" applyFont="1" applyFill="1" applyBorder="1" applyAlignment="1">
      <alignment horizontal="center" vertical="center"/>
    </xf>
    <xf numFmtId="0" fontId="3" fillId="6" borderId="0" xfId="0" applyFont="1" applyFill="1" applyAlignment="1">
      <alignment horizontal="center" vertical="center"/>
    </xf>
    <xf numFmtId="0" fontId="0" fillId="0" borderId="0" xfId="0" applyAlignment="1">
      <alignment vertical="center"/>
    </xf>
    <xf numFmtId="0" fontId="0" fillId="6" borderId="0" xfId="0" applyFill="1" applyAlignment="1">
      <alignment vertical="center"/>
    </xf>
    <xf numFmtId="0" fontId="0" fillId="0" borderId="8" xfId="0" applyBorder="1" applyAlignment="1">
      <alignment horizontal="center" vertical="center"/>
    </xf>
    <xf numFmtId="0" fontId="3" fillId="0" borderId="32" xfId="0" applyFont="1" applyBorder="1" applyAlignment="1">
      <alignment horizontal="center"/>
    </xf>
    <xf numFmtId="0" fontId="0" fillId="0" borderId="32" xfId="0" applyBorder="1"/>
    <xf numFmtId="0" fontId="3" fillId="0" borderId="32" xfId="0" applyFont="1" applyBorder="1" applyAlignment="1">
      <alignment horizontal="center" vertical="center"/>
    </xf>
    <xf numFmtId="0" fontId="3" fillId="0" borderId="33" xfId="0" applyFont="1" applyBorder="1" applyAlignment="1">
      <alignment horizontal="center"/>
    </xf>
    <xf numFmtId="0" fontId="0" fillId="0" borderId="34" xfId="0" applyBorder="1"/>
    <xf numFmtId="2" fontId="3" fillId="3" borderId="4" xfId="0" applyNumberFormat="1" applyFont="1" applyFill="1" applyBorder="1" applyAlignment="1">
      <alignment horizontal="center" vertical="center"/>
    </xf>
    <xf numFmtId="0" fontId="3" fillId="3" borderId="4" xfId="0" applyFont="1" applyFill="1" applyBorder="1" applyAlignment="1">
      <alignment horizontal="center" vertical="center"/>
    </xf>
    <xf numFmtId="165" fontId="3" fillId="3" borderId="4" xfId="0" applyNumberFormat="1" applyFont="1" applyFill="1" applyBorder="1" applyAlignment="1">
      <alignment horizontal="center" vertical="center"/>
    </xf>
    <xf numFmtId="0" fontId="3" fillId="0" borderId="4" xfId="0" applyFont="1" applyBorder="1" applyAlignment="1">
      <alignment horizontal="center"/>
    </xf>
    <xf numFmtId="0" fontId="3" fillId="0" borderId="4" xfId="0" applyFont="1" applyBorder="1" applyAlignment="1">
      <alignment horizontal="center" vertical="center"/>
    </xf>
    <xf numFmtId="2" fontId="0" fillId="0" borderId="0" xfId="0" applyNumberFormat="1" applyAlignment="1">
      <alignment horizontal="center"/>
    </xf>
    <xf numFmtId="2" fontId="0" fillId="0" borderId="0" xfId="0" applyNumberFormat="1" applyAlignment="1">
      <alignment horizontal="center" vertical="center"/>
    </xf>
    <xf numFmtId="0" fontId="3" fillId="10" borderId="4" xfId="0" applyFont="1" applyFill="1" applyBorder="1"/>
    <xf numFmtId="0" fontId="3" fillId="4" borderId="4" xfId="0" applyFont="1" applyFill="1" applyBorder="1" applyAlignment="1" applyProtection="1">
      <alignment horizontal="center" vertical="center"/>
      <protection locked="0"/>
    </xf>
    <xf numFmtId="0" fontId="3" fillId="10" borderId="4" xfId="0" applyFont="1" applyFill="1" applyBorder="1" applyAlignment="1">
      <alignment horizontal="left" wrapText="1"/>
    </xf>
    <xf numFmtId="4" fontId="3" fillId="3" borderId="4" xfId="0" applyNumberFormat="1" applyFont="1" applyFill="1" applyBorder="1" applyAlignment="1">
      <alignment horizontal="center"/>
    </xf>
    <xf numFmtId="3" fontId="3" fillId="3" borderId="4" xfId="0" applyNumberFormat="1" applyFont="1" applyFill="1" applyBorder="1" applyAlignment="1">
      <alignment horizontal="center"/>
    </xf>
    <xf numFmtId="165" fontId="3" fillId="0" borderId="4" xfId="0" applyNumberFormat="1" applyFont="1" applyBorder="1" applyAlignment="1">
      <alignment horizontal="center"/>
    </xf>
    <xf numFmtId="3" fontId="3" fillId="3" borderId="4" xfId="0" applyNumberFormat="1" applyFont="1" applyFill="1" applyBorder="1" applyAlignment="1">
      <alignment horizontal="center" vertical="center"/>
    </xf>
    <xf numFmtId="164" fontId="3" fillId="4" borderId="4" xfId="0" applyNumberFormat="1" applyFont="1" applyFill="1" applyBorder="1" applyAlignment="1">
      <alignment horizontal="center"/>
    </xf>
    <xf numFmtId="164" fontId="3" fillId="3" borderId="4" xfId="0" applyNumberFormat="1" applyFont="1" applyFill="1" applyBorder="1" applyAlignment="1">
      <alignment horizontal="center"/>
    </xf>
    <xf numFmtId="0" fontId="0" fillId="6" borderId="4" xfId="0" applyFill="1" applyBorder="1"/>
    <xf numFmtId="0" fontId="0" fillId="6" borderId="4" xfId="0" applyFill="1" applyBorder="1" applyAlignment="1">
      <alignment horizontal="center" vertical="center"/>
    </xf>
    <xf numFmtId="0" fontId="0" fillId="6" borderId="4" xfId="0" applyFill="1" applyBorder="1" applyAlignment="1">
      <alignment horizontal="center"/>
    </xf>
    <xf numFmtId="166" fontId="3" fillId="6" borderId="0" xfId="0" applyNumberFormat="1" applyFont="1" applyFill="1"/>
    <xf numFmtId="2" fontId="3" fillId="0" borderId="4" xfId="0" applyNumberFormat="1" applyFont="1" applyBorder="1" applyAlignment="1">
      <alignment horizontal="center"/>
    </xf>
    <xf numFmtId="0" fontId="3" fillId="0" borderId="4" xfId="0" applyFont="1" applyBorder="1" applyAlignment="1">
      <alignment horizontal="center" vertical="center"/>
    </xf>
    <xf numFmtId="0" fontId="3" fillId="0" borderId="4" xfId="0" applyFont="1" applyBorder="1" applyAlignment="1">
      <alignment horizontal="center"/>
    </xf>
    <xf numFmtId="0" fontId="3" fillId="0" borderId="4" xfId="0" applyFont="1" applyBorder="1" applyAlignment="1">
      <alignment horizontal="center" vertical="center"/>
    </xf>
    <xf numFmtId="2" fontId="3" fillId="3" borderId="4" xfId="0" applyNumberFormat="1" applyFont="1" applyFill="1" applyBorder="1" applyAlignment="1">
      <alignment horizontal="center" vertical="center"/>
    </xf>
    <xf numFmtId="0" fontId="3" fillId="0" borderId="4" xfId="0" applyFont="1" applyBorder="1" applyAlignment="1">
      <alignment horizontal="center" vertical="center"/>
    </xf>
    <xf numFmtId="0" fontId="3" fillId="0" borderId="4" xfId="0" applyFont="1" applyBorder="1" applyAlignment="1">
      <alignment horizontal="center"/>
    </xf>
    <xf numFmtId="0" fontId="0" fillId="0" borderId="0" xfId="0" applyAlignment="1">
      <alignment horizontal="center"/>
    </xf>
    <xf numFmtId="164" fontId="3" fillId="4" borderId="4" xfId="0" applyNumberFormat="1" applyFont="1" applyFill="1" applyBorder="1" applyAlignment="1" applyProtection="1">
      <alignment horizontal="center" vertical="center"/>
      <protection locked="0"/>
    </xf>
    <xf numFmtId="1" fontId="3" fillId="0" borderId="4" xfId="0" applyNumberFormat="1" applyFont="1" applyBorder="1" applyAlignment="1">
      <alignment horizontal="center"/>
    </xf>
    <xf numFmtId="0" fontId="0" fillId="43" borderId="0" xfId="0" applyFill="1"/>
    <xf numFmtId="0" fontId="3" fillId="0" borderId="4" xfId="0" applyFont="1" applyBorder="1" applyAlignment="1">
      <alignment horizontal="center" vertical="center"/>
    </xf>
    <xf numFmtId="0" fontId="3" fillId="0" borderId="4" xfId="0" applyFont="1" applyBorder="1" applyAlignment="1">
      <alignment horizontal="center"/>
    </xf>
    <xf numFmtId="2" fontId="0" fillId="6" borderId="0" xfId="0" applyNumberFormat="1" applyFill="1"/>
    <xf numFmtId="0" fontId="3" fillId="6" borderId="7" xfId="0" applyFont="1" applyFill="1" applyBorder="1" applyAlignment="1">
      <alignment horizontal="center"/>
    </xf>
    <xf numFmtId="165" fontId="3" fillId="0" borderId="0" xfId="0" applyNumberFormat="1" applyFont="1" applyBorder="1" applyAlignment="1">
      <alignment horizontal="right"/>
    </xf>
    <xf numFmtId="0" fontId="3" fillId="0" borderId="34" xfId="0" applyFont="1" applyBorder="1" applyAlignment="1">
      <alignment horizontal="left" vertical="center"/>
    </xf>
    <xf numFmtId="0" fontId="0" fillId="0" borderId="6" xfId="0" applyBorder="1" applyAlignment="1">
      <alignment horizontal="center" vertical="center"/>
    </xf>
    <xf numFmtId="0" fontId="0" fillId="6" borderId="7" xfId="0" applyFill="1" applyBorder="1" applyAlignment="1">
      <alignment horizontal="center" vertical="center"/>
    </xf>
    <xf numFmtId="0" fontId="38" fillId="6" borderId="6" xfId="0" applyFont="1" applyFill="1" applyBorder="1" applyAlignment="1">
      <alignment horizontal="left" vertical="center"/>
    </xf>
    <xf numFmtId="0" fontId="3" fillId="6" borderId="6" xfId="0" applyFont="1" applyFill="1" applyBorder="1" applyAlignment="1">
      <alignment horizontal="center" vertical="center"/>
    </xf>
    <xf numFmtId="165" fontId="3" fillId="43" borderId="30" xfId="0" applyNumberFormat="1" applyFont="1" applyFill="1" applyBorder="1" applyAlignment="1">
      <alignment horizontal="center" vertical="center"/>
    </xf>
    <xf numFmtId="0" fontId="3" fillId="0" borderId="34" xfId="0" applyFont="1" applyBorder="1" applyAlignment="1">
      <alignment horizontal="center" vertical="center" wrapText="1"/>
    </xf>
    <xf numFmtId="0" fontId="3" fillId="10" borderId="4" xfId="0" applyFont="1" applyFill="1" applyBorder="1" applyAlignment="1">
      <alignment vertical="center"/>
    </xf>
    <xf numFmtId="0" fontId="2" fillId="6" borderId="0" xfId="0" applyFont="1" applyFill="1" applyProtection="1"/>
    <xf numFmtId="0" fontId="2" fillId="6" borderId="0" xfId="0" applyFont="1" applyFill="1" applyAlignment="1" applyProtection="1">
      <alignment horizontal="center"/>
    </xf>
    <xf numFmtId="0" fontId="2" fillId="0" borderId="0" xfId="0" applyFont="1" applyFill="1" applyProtection="1"/>
    <xf numFmtId="0" fontId="2" fillId="6" borderId="0" xfId="0" applyFont="1" applyFill="1" applyBorder="1" applyAlignment="1" applyProtection="1"/>
    <xf numFmtId="0" fontId="8" fillId="6" borderId="0" xfId="0" applyFont="1" applyFill="1" applyBorder="1" applyAlignment="1" applyProtection="1">
      <alignment vertical="center"/>
    </xf>
    <xf numFmtId="0" fontId="2" fillId="0" borderId="0" xfId="0" applyFont="1" applyFill="1" applyBorder="1" applyAlignment="1" applyProtection="1"/>
    <xf numFmtId="0" fontId="2" fillId="6" borderId="0" xfId="0" applyFont="1" applyFill="1" applyBorder="1" applyAlignment="1" applyProtection="1">
      <alignment horizontal="center"/>
    </xf>
    <xf numFmtId="0" fontId="0" fillId="0" borderId="0" xfId="0" applyProtection="1"/>
    <xf numFmtId="1" fontId="0" fillId="0" borderId="0" xfId="0" applyNumberFormat="1" applyProtection="1"/>
    <xf numFmtId="14" fontId="2" fillId="6" borderId="0" xfId="0" applyNumberFormat="1" applyFont="1" applyFill="1" applyBorder="1" applyAlignment="1" applyProtection="1"/>
    <xf numFmtId="14" fontId="2" fillId="6" borderId="0" xfId="0" applyNumberFormat="1" applyFont="1" applyFill="1" applyBorder="1" applyAlignment="1" applyProtection="1">
      <alignment horizontal="center"/>
    </xf>
    <xf numFmtId="14" fontId="2" fillId="0" borderId="0" xfId="0" applyNumberFormat="1" applyFont="1" applyFill="1" applyBorder="1" applyAlignment="1" applyProtection="1"/>
    <xf numFmtId="0" fontId="2" fillId="6" borderId="0" xfId="0" applyFont="1" applyFill="1" applyBorder="1" applyAlignment="1" applyProtection="1">
      <alignment vertical="center"/>
    </xf>
    <xf numFmtId="0" fontId="1" fillId="6" borderId="0" xfId="0" applyFont="1" applyFill="1" applyBorder="1" applyAlignment="1" applyProtection="1">
      <alignment vertical="center"/>
    </xf>
    <xf numFmtId="0" fontId="2" fillId="0" borderId="0" xfId="0" applyFont="1" applyFill="1" applyBorder="1" applyAlignment="1" applyProtection="1">
      <alignment vertical="center"/>
    </xf>
    <xf numFmtId="0" fontId="2" fillId="0" borderId="0" xfId="0" applyFont="1" applyFill="1" applyAlignment="1" applyProtection="1">
      <alignment vertical="center"/>
    </xf>
    <xf numFmtId="11" fontId="0" fillId="0" borderId="0" xfId="0" applyNumberFormat="1" applyProtection="1"/>
    <xf numFmtId="2" fontId="2" fillId="0" borderId="0" xfId="0" applyNumberFormat="1" applyFont="1" applyFill="1" applyBorder="1" applyAlignment="1" applyProtection="1"/>
    <xf numFmtId="0" fontId="2" fillId="6" borderId="0" xfId="0" applyFont="1" applyFill="1" applyBorder="1" applyProtection="1"/>
    <xf numFmtId="0" fontId="3" fillId="3" borderId="4" xfId="0" applyFont="1" applyFill="1" applyBorder="1" applyAlignment="1" applyProtection="1">
      <alignment horizontal="center"/>
    </xf>
    <xf numFmtId="0" fontId="3" fillId="0" borderId="4" xfId="0" applyFont="1" applyFill="1" applyBorder="1" applyAlignment="1" applyProtection="1">
      <alignment horizontal="center"/>
    </xf>
    <xf numFmtId="0" fontId="3" fillId="6" borderId="4" xfId="0" applyFont="1" applyFill="1" applyBorder="1" applyProtection="1"/>
    <xf numFmtId="0" fontId="3" fillId="6" borderId="4" xfId="0" applyFont="1" applyFill="1" applyBorder="1" applyAlignment="1" applyProtection="1">
      <alignment horizontal="left"/>
    </xf>
    <xf numFmtId="0" fontId="3" fillId="6" borderId="4" xfId="0" applyFont="1" applyFill="1" applyBorder="1" applyAlignment="1" applyProtection="1">
      <alignment horizontal="center"/>
    </xf>
    <xf numFmtId="164" fontId="3" fillId="3" borderId="4" xfId="0" applyNumberFormat="1" applyFont="1" applyFill="1" applyBorder="1" applyAlignment="1" applyProtection="1">
      <alignment horizontal="center"/>
    </xf>
    <xf numFmtId="164" fontId="0" fillId="0" borderId="0" xfId="0" applyNumberFormat="1" applyProtection="1"/>
    <xf numFmtId="11" fontId="2" fillId="0" borderId="0" xfId="0" applyNumberFormat="1" applyFont="1" applyFill="1" applyProtection="1"/>
    <xf numFmtId="2" fontId="3" fillId="6" borderId="4" xfId="0" applyNumberFormat="1" applyFont="1" applyFill="1" applyBorder="1" applyAlignment="1" applyProtection="1">
      <alignment horizontal="center"/>
    </xf>
    <xf numFmtId="0" fontId="3" fillId="6" borderId="0" xfId="0" applyFont="1" applyFill="1" applyAlignment="1" applyProtection="1">
      <alignment horizontal="center"/>
    </xf>
    <xf numFmtId="1" fontId="3" fillId="3" borderId="4" xfId="0" applyNumberFormat="1" applyFont="1" applyFill="1" applyBorder="1" applyAlignment="1" applyProtection="1">
      <alignment horizontal="center"/>
    </xf>
    <xf numFmtId="2" fontId="3" fillId="3" borderId="4" xfId="0" applyNumberFormat="1" applyFont="1" applyFill="1" applyBorder="1" applyAlignment="1" applyProtection="1">
      <alignment horizontal="center"/>
    </xf>
    <xf numFmtId="0" fontId="3" fillId="6" borderId="0" xfId="0" applyFont="1" applyFill="1" applyProtection="1"/>
    <xf numFmtId="2" fontId="2" fillId="0" borderId="0" xfId="0" applyNumberFormat="1" applyFont="1" applyFill="1" applyProtection="1"/>
    <xf numFmtId="0" fontId="2" fillId="6" borderId="4" xfId="0" applyFont="1" applyFill="1" applyBorder="1" applyProtection="1"/>
    <xf numFmtId="0" fontId="2" fillId="6" borderId="4" xfId="0" applyFont="1" applyFill="1" applyBorder="1" applyAlignment="1" applyProtection="1">
      <alignment horizontal="center"/>
    </xf>
    <xf numFmtId="0" fontId="3" fillId="6" borderId="0" xfId="0" applyFont="1" applyFill="1" applyAlignment="1" applyProtection="1">
      <alignment vertical="center"/>
    </xf>
    <xf numFmtId="0" fontId="3" fillId="10" borderId="4" xfId="0" applyFont="1" applyFill="1" applyBorder="1" applyAlignment="1" applyProtection="1">
      <alignment horizontal="center" vertical="center"/>
    </xf>
    <xf numFmtId="0" fontId="3" fillId="6" borderId="4" xfId="0" applyFont="1" applyFill="1" applyBorder="1" applyAlignment="1" applyProtection="1">
      <alignment horizontal="center" vertical="center"/>
    </xf>
    <xf numFmtId="0" fontId="3" fillId="0" borderId="0" xfId="0" applyFont="1" applyFill="1" applyAlignment="1" applyProtection="1">
      <alignment vertical="center"/>
    </xf>
    <xf numFmtId="0" fontId="2" fillId="6" borderId="0" xfId="0" applyFont="1" applyFill="1" applyAlignment="1" applyProtection="1">
      <alignment horizontal="center" vertical="center"/>
    </xf>
    <xf numFmtId="164" fontId="3" fillId="3" borderId="4" xfId="0" applyNumberFormat="1" applyFont="1" applyFill="1" applyBorder="1" applyAlignment="1" applyProtection="1">
      <alignment horizontal="center" vertical="center"/>
    </xf>
    <xf numFmtId="1" fontId="3" fillId="6" borderId="4" xfId="0" applyNumberFormat="1" applyFont="1" applyFill="1" applyBorder="1" applyAlignment="1" applyProtection="1">
      <alignment horizontal="center" vertical="center"/>
    </xf>
    <xf numFmtId="2" fontId="3" fillId="6" borderId="0" xfId="0" applyNumberFormat="1" applyFont="1" applyFill="1" applyAlignment="1" applyProtection="1">
      <alignment horizontal="center" vertical="center"/>
    </xf>
    <xf numFmtId="0" fontId="2" fillId="0" borderId="0" xfId="0" applyFont="1" applyFill="1" applyAlignment="1" applyProtection="1">
      <alignment horizontal="center" vertical="center"/>
    </xf>
    <xf numFmtId="0" fontId="14" fillId="6" borderId="0" xfId="0" applyFont="1" applyFill="1" applyProtection="1"/>
    <xf numFmtId="0" fontId="13" fillId="6" borderId="0" xfId="0" applyFont="1" applyFill="1" applyAlignment="1" applyProtection="1">
      <alignment horizontal="center" wrapText="1"/>
    </xf>
    <xf numFmtId="0" fontId="14" fillId="6" borderId="0" xfId="0" applyFont="1" applyFill="1" applyAlignment="1" applyProtection="1">
      <alignment horizontal="center"/>
    </xf>
    <xf numFmtId="0" fontId="6" fillId="10" borderId="4" xfId="0" applyFont="1" applyFill="1" applyBorder="1" applyAlignment="1" applyProtection="1">
      <alignment horizontal="center" vertical="center" wrapText="1"/>
    </xf>
    <xf numFmtId="0" fontId="2" fillId="6" borderId="0" xfId="0" applyFont="1" applyFill="1" applyAlignment="1" applyProtection="1">
      <alignment vertical="center"/>
    </xf>
    <xf numFmtId="165" fontId="3" fillId="3" borderId="8" xfId="0" applyNumberFormat="1" applyFont="1" applyFill="1" applyBorder="1" applyAlignment="1" applyProtection="1">
      <alignment horizontal="center" vertical="center"/>
    </xf>
    <xf numFmtId="2" fontId="3" fillId="3" borderId="9" xfId="0" applyNumberFormat="1" applyFont="1" applyFill="1" applyBorder="1" applyAlignment="1" applyProtection="1">
      <alignment horizontal="center" vertical="center"/>
    </xf>
    <xf numFmtId="2" fontId="2" fillId="0" borderId="0" xfId="0" applyNumberFormat="1" applyFont="1" applyFill="1" applyAlignment="1" applyProtection="1">
      <alignment vertical="center"/>
    </xf>
    <xf numFmtId="10" fontId="0" fillId="0" borderId="0" xfId="0" applyNumberFormat="1" applyProtection="1"/>
    <xf numFmtId="164" fontId="3" fillId="6" borderId="0" xfId="0" applyNumberFormat="1" applyFont="1" applyFill="1" applyBorder="1" applyAlignment="1" applyProtection="1">
      <alignment horizontal="center" vertical="center"/>
    </xf>
    <xf numFmtId="1" fontId="3" fillId="6" borderId="0" xfId="0" applyNumberFormat="1" applyFont="1" applyFill="1" applyBorder="1" applyAlignment="1" applyProtection="1">
      <alignment horizontal="center" vertical="center"/>
    </xf>
    <xf numFmtId="2" fontId="3" fillId="6" borderId="0" xfId="0" applyNumberFormat="1" applyFont="1" applyFill="1" applyBorder="1" applyAlignment="1" applyProtection="1">
      <alignment horizontal="center" vertical="center"/>
    </xf>
    <xf numFmtId="165" fontId="3" fillId="6" borderId="0" xfId="0" applyNumberFormat="1" applyFont="1" applyFill="1" applyBorder="1" applyAlignment="1" applyProtection="1">
      <alignment horizontal="center" vertical="center"/>
    </xf>
    <xf numFmtId="1" fontId="3" fillId="10" borderId="4" xfId="0" applyNumberFormat="1" applyFont="1" applyFill="1" applyBorder="1" applyAlignment="1" applyProtection="1">
      <alignment horizontal="center" vertical="center" wrapText="1"/>
    </xf>
    <xf numFmtId="1" fontId="3" fillId="3" borderId="4" xfId="0" applyNumberFormat="1" applyFont="1" applyFill="1" applyBorder="1" applyAlignment="1" applyProtection="1">
      <alignment horizontal="center" vertical="center" wrapText="1"/>
    </xf>
    <xf numFmtId="0" fontId="13" fillId="6" borderId="0" xfId="0" applyFont="1" applyFill="1" applyAlignment="1" applyProtection="1">
      <alignment horizontal="center" vertical="center" wrapText="1"/>
    </xf>
    <xf numFmtId="1" fontId="2" fillId="0" borderId="0" xfId="0" applyNumberFormat="1" applyFont="1" applyFill="1" applyAlignment="1" applyProtection="1">
      <alignment vertical="center"/>
    </xf>
    <xf numFmtId="0" fontId="17" fillId="10" borderId="4" xfId="0" applyFont="1" applyFill="1" applyBorder="1" applyAlignment="1" applyProtection="1">
      <alignment horizontal="center" vertical="center" wrapText="1"/>
    </xf>
    <xf numFmtId="2" fontId="17" fillId="3" borderId="4" xfId="0" applyNumberFormat="1" applyFont="1" applyFill="1" applyBorder="1" applyAlignment="1" applyProtection="1">
      <alignment horizontal="center" vertical="center" wrapText="1"/>
    </xf>
    <xf numFmtId="0" fontId="1" fillId="6" borderId="0" xfId="0" applyFont="1" applyFill="1" applyAlignment="1" applyProtection="1">
      <alignment vertical="center"/>
    </xf>
    <xf numFmtId="14" fontId="3" fillId="10" borderId="4" xfId="0" applyNumberFormat="1" applyFont="1" applyFill="1" applyBorder="1" applyAlignment="1" applyProtection="1">
      <alignment horizontal="center" vertical="center" wrapText="1"/>
    </xf>
    <xf numFmtId="165" fontId="3" fillId="3" borderId="4" xfId="0" applyNumberFormat="1" applyFont="1" applyFill="1" applyBorder="1" applyAlignment="1" applyProtection="1">
      <alignment horizontal="center"/>
    </xf>
    <xf numFmtId="0" fontId="2" fillId="0" borderId="0" xfId="0" applyFont="1" applyFill="1" applyAlignment="1" applyProtection="1">
      <alignment horizontal="center"/>
    </xf>
    <xf numFmtId="14" fontId="3" fillId="6" borderId="4" xfId="0" applyNumberFormat="1" applyFont="1" applyFill="1" applyBorder="1" applyAlignment="1" applyProtection="1">
      <alignment horizontal="center" vertical="center" wrapText="1"/>
    </xf>
    <xf numFmtId="0" fontId="3" fillId="6" borderId="4" xfId="0" applyFont="1" applyFill="1" applyBorder="1" applyAlignment="1" applyProtection="1">
      <alignment horizontal="center" vertical="center" wrapText="1"/>
    </xf>
    <xf numFmtId="2" fontId="3" fillId="6" borderId="4" xfId="0" applyNumberFormat="1" applyFont="1" applyFill="1" applyBorder="1" applyAlignment="1" applyProtection="1">
      <alignment horizontal="center" vertical="center"/>
    </xf>
    <xf numFmtId="0" fontId="6" fillId="3" borderId="4" xfId="0" applyFont="1" applyFill="1" applyBorder="1" applyAlignment="1" applyProtection="1">
      <alignment horizontal="center" vertical="center"/>
    </xf>
    <xf numFmtId="2" fontId="3" fillId="4" borderId="4" xfId="0" applyNumberFormat="1" applyFont="1" applyFill="1" applyBorder="1" applyAlignment="1" applyProtection="1">
      <alignment horizontal="center" vertical="center"/>
      <protection locked="0"/>
    </xf>
    <xf numFmtId="14" fontId="6" fillId="10" borderId="4" xfId="0" applyNumberFormat="1" applyFont="1" applyFill="1" applyBorder="1" applyAlignment="1">
      <alignment horizontal="center" vertical="center" wrapText="1"/>
    </xf>
    <xf numFmtId="0" fontId="3" fillId="0" borderId="4" xfId="0" applyFont="1" applyBorder="1" applyAlignment="1">
      <alignment horizontal="center" vertical="center"/>
    </xf>
    <xf numFmtId="0" fontId="3" fillId="0" borderId="4" xfId="0" applyFont="1" applyBorder="1" applyAlignment="1">
      <alignment horizontal="center"/>
    </xf>
    <xf numFmtId="0" fontId="0" fillId="0" borderId="0" xfId="0" applyAlignment="1">
      <alignment horizontal="center"/>
    </xf>
    <xf numFmtId="0" fontId="3" fillId="10" borderId="4" xfId="0" applyFont="1" applyFill="1" applyBorder="1" applyAlignment="1">
      <alignment horizontal="left"/>
    </xf>
    <xf numFmtId="1" fontId="3" fillId="3" borderId="5" xfId="0" applyNumberFormat="1" applyFont="1" applyFill="1" applyBorder="1" applyAlignment="1">
      <alignment horizontal="center" vertical="center"/>
    </xf>
    <xf numFmtId="2" fontId="3" fillId="6" borderId="5" xfId="0" applyNumberFormat="1" applyFont="1" applyFill="1" applyBorder="1" applyAlignment="1">
      <alignment horizontal="center" vertical="center"/>
    </xf>
    <xf numFmtId="0" fontId="3" fillId="6" borderId="5" xfId="0" applyFont="1" applyFill="1" applyBorder="1" applyAlignment="1">
      <alignment horizontal="center" vertical="center"/>
    </xf>
    <xf numFmtId="165" fontId="3" fillId="6" borderId="5" xfId="0" applyNumberFormat="1" applyFont="1" applyFill="1" applyBorder="1" applyAlignment="1">
      <alignment horizontal="center" vertical="center"/>
    </xf>
    <xf numFmtId="1" fontId="3" fillId="6" borderId="5" xfId="0" applyNumberFormat="1" applyFont="1" applyFill="1" applyBorder="1" applyAlignment="1">
      <alignment horizontal="center" vertical="center"/>
    </xf>
    <xf numFmtId="2" fontId="3" fillId="6" borderId="4" xfId="0" applyNumberFormat="1" applyFont="1" applyFill="1" applyBorder="1" applyAlignment="1">
      <alignment horizontal="center"/>
    </xf>
    <xf numFmtId="0" fontId="12" fillId="6" borderId="4" xfId="0" applyFont="1" applyFill="1" applyBorder="1" applyAlignment="1">
      <alignment horizontal="center" vertical="center"/>
    </xf>
    <xf numFmtId="3" fontId="0" fillId="0" borderId="0" xfId="0" applyNumberFormat="1"/>
    <xf numFmtId="0" fontId="0" fillId="6" borderId="6" xfId="0" applyFill="1" applyBorder="1" applyAlignment="1">
      <alignment horizontal="center" vertical="center"/>
    </xf>
    <xf numFmtId="0" fontId="3" fillId="6" borderId="34" xfId="0" applyFont="1" applyFill="1" applyBorder="1" applyAlignment="1">
      <alignment horizontal="left" vertical="center"/>
    </xf>
    <xf numFmtId="9" fontId="3" fillId="0" borderId="4" xfId="0" applyNumberFormat="1" applyFont="1" applyBorder="1" applyAlignment="1">
      <alignment horizontal="center"/>
    </xf>
    <xf numFmtId="1" fontId="13" fillId="6" borderId="0" xfId="0" applyNumberFormat="1" applyFont="1" applyFill="1" applyBorder="1" applyAlignment="1">
      <alignment horizontal="center" vertical="center"/>
    </xf>
    <xf numFmtId="0" fontId="2" fillId="0" borderId="0" xfId="0" applyFont="1" applyFill="1" applyAlignment="1">
      <alignment horizontal="center" vertical="center"/>
    </xf>
    <xf numFmtId="2" fontId="3" fillId="3" borderId="4" xfId="0" applyNumberFormat="1" applyFont="1" applyFill="1" applyBorder="1" applyAlignment="1">
      <alignment horizontal="center" vertical="center"/>
    </xf>
    <xf numFmtId="0" fontId="3" fillId="10" borderId="4" xfId="0" applyFont="1" applyFill="1" applyBorder="1" applyAlignment="1">
      <alignment horizontal="center" vertical="center" wrapText="1"/>
    </xf>
    <xf numFmtId="0" fontId="3" fillId="6" borderId="4" xfId="0" applyFont="1" applyFill="1" applyBorder="1" applyAlignment="1" applyProtection="1">
      <alignment horizontal="center" vertical="center"/>
      <protection locked="0"/>
    </xf>
    <xf numFmtId="0" fontId="3" fillId="6" borderId="4" xfId="0" applyFont="1" applyFill="1" applyBorder="1" applyAlignment="1">
      <alignment vertical="center"/>
    </xf>
    <xf numFmtId="3" fontId="3" fillId="6" borderId="4" xfId="0" applyNumberFormat="1" applyFont="1" applyFill="1" applyBorder="1" applyAlignment="1" applyProtection="1">
      <alignment horizontal="center" vertical="center"/>
      <protection locked="0"/>
    </xf>
    <xf numFmtId="165" fontId="3" fillId="6" borderId="30" xfId="0" applyNumberFormat="1" applyFont="1" applyFill="1" applyBorder="1" applyAlignment="1">
      <alignment horizontal="center" vertical="center"/>
    </xf>
    <xf numFmtId="0" fontId="3" fillId="6" borderId="34" xfId="0" applyFont="1" applyFill="1" applyBorder="1" applyAlignment="1">
      <alignment horizontal="center" vertical="center" wrapText="1"/>
    </xf>
    <xf numFmtId="2" fontId="3" fillId="6" borderId="4" xfId="0" applyNumberFormat="1" applyFont="1" applyFill="1" applyBorder="1" applyAlignment="1">
      <alignment horizontal="center" vertical="center"/>
    </xf>
    <xf numFmtId="165" fontId="3" fillId="3" borderId="4" xfId="0" applyNumberFormat="1" applyFont="1" applyFill="1" applyBorder="1" applyAlignment="1">
      <alignment horizontal="center" vertical="center"/>
    </xf>
    <xf numFmtId="0" fontId="3" fillId="10" borderId="4" xfId="0" applyFont="1" applyFill="1" applyBorder="1" applyAlignment="1">
      <alignment horizontal="center" vertical="center" wrapText="1"/>
    </xf>
    <xf numFmtId="2" fontId="3" fillId="3" borderId="4" xfId="0" applyNumberFormat="1" applyFont="1" applyFill="1" applyBorder="1" applyAlignment="1">
      <alignment horizontal="center" vertical="center"/>
    </xf>
    <xf numFmtId="0" fontId="3" fillId="3" borderId="4" xfId="0" applyFont="1" applyFill="1" applyBorder="1" applyAlignment="1">
      <alignment horizontal="center" vertical="center"/>
    </xf>
    <xf numFmtId="0" fontId="3" fillId="10" borderId="4" xfId="0" applyFont="1" applyFill="1" applyBorder="1" applyAlignment="1" applyProtection="1">
      <alignment horizontal="center" vertical="center" wrapText="1"/>
    </xf>
    <xf numFmtId="165" fontId="3" fillId="3" borderId="4" xfId="0" applyNumberFormat="1" applyFont="1" applyFill="1" applyBorder="1" applyAlignment="1" applyProtection="1">
      <alignment horizontal="center" vertical="center"/>
    </xf>
    <xf numFmtId="1" fontId="3" fillId="3" borderId="4" xfId="0" applyNumberFormat="1" applyFont="1" applyFill="1" applyBorder="1" applyAlignment="1" applyProtection="1">
      <alignment horizontal="center" vertical="center"/>
    </xf>
    <xf numFmtId="2" fontId="3" fillId="3" borderId="4" xfId="0" applyNumberFormat="1" applyFont="1" applyFill="1" applyBorder="1" applyAlignment="1" applyProtection="1">
      <alignment horizontal="center" vertical="center"/>
    </xf>
    <xf numFmtId="0" fontId="3" fillId="3" borderId="4" xfId="0" applyFont="1" applyFill="1" applyBorder="1" applyAlignment="1" applyProtection="1">
      <alignment horizontal="center" vertical="center"/>
    </xf>
    <xf numFmtId="0" fontId="3" fillId="6" borderId="4" xfId="0" applyFont="1" applyFill="1" applyBorder="1" applyAlignment="1" applyProtection="1">
      <alignment horizontal="center"/>
    </xf>
    <xf numFmtId="0" fontId="3" fillId="0" borderId="6" xfId="0" applyFont="1" applyBorder="1" applyAlignment="1">
      <alignment horizontal="center"/>
    </xf>
    <xf numFmtId="0" fontId="3" fillId="0" borderId="4" xfId="0" applyFont="1" applyBorder="1" applyAlignment="1">
      <alignment horizontal="center"/>
    </xf>
    <xf numFmtId="0" fontId="3" fillId="0" borderId="4"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37" xfId="0" applyFont="1" applyBorder="1" applyAlignment="1">
      <alignment horizontal="center" vertical="center"/>
    </xf>
    <xf numFmtId="0" fontId="3" fillId="0" borderId="5" xfId="0" applyFont="1" applyBorder="1" applyAlignment="1">
      <alignment horizontal="center" vertical="center"/>
    </xf>
    <xf numFmtId="0" fontId="3" fillId="0" borderId="8" xfId="0" applyFont="1" applyBorder="1" applyAlignment="1">
      <alignment horizontal="center"/>
    </xf>
    <xf numFmtId="0" fontId="3" fillId="10" borderId="4" xfId="0" applyFont="1" applyFill="1" applyBorder="1" applyAlignment="1">
      <alignment horizontal="left"/>
    </xf>
    <xf numFmtId="0" fontId="0" fillId="0" borderId="0" xfId="0" applyAlignment="1">
      <alignment horizontal="center"/>
    </xf>
    <xf numFmtId="14" fontId="6" fillId="6" borderId="4" xfId="0" applyNumberFormat="1" applyFont="1" applyFill="1" applyBorder="1" applyAlignment="1">
      <alignment horizontal="center" vertical="center" wrapText="1"/>
    </xf>
    <xf numFmtId="0" fontId="0" fillId="43" borderId="0" xfId="0" applyFill="1" applyAlignment="1">
      <alignment horizontal="center" vertical="center"/>
    </xf>
    <xf numFmtId="0" fontId="0" fillId="43" borderId="0" xfId="0" applyFill="1" applyAlignment="1">
      <alignment horizontal="center"/>
    </xf>
    <xf numFmtId="0" fontId="1" fillId="6" borderId="0" xfId="0" applyFont="1" applyFill="1" applyBorder="1" applyAlignment="1">
      <alignment horizontal="center" vertical="center"/>
    </xf>
    <xf numFmtId="0" fontId="2" fillId="6" borderId="0" xfId="0" applyFont="1" applyFill="1" applyBorder="1" applyAlignment="1">
      <alignment horizontal="center" vertical="center"/>
    </xf>
    <xf numFmtId="1" fontId="0" fillId="0" borderId="0" xfId="0" applyNumberFormat="1" applyAlignment="1">
      <alignment vertical="center"/>
    </xf>
    <xf numFmtId="14" fontId="2" fillId="6" borderId="0" xfId="0" applyNumberFormat="1" applyFont="1" applyFill="1" applyBorder="1" applyAlignment="1">
      <alignment vertical="center"/>
    </xf>
    <xf numFmtId="14" fontId="2" fillId="6" borderId="0" xfId="0" applyNumberFormat="1" applyFont="1" applyFill="1" applyBorder="1" applyAlignment="1">
      <alignment horizontal="center" vertical="center"/>
    </xf>
    <xf numFmtId="14" fontId="2" fillId="0" borderId="0" xfId="0" applyNumberFormat="1" applyFont="1" applyFill="1" applyBorder="1" applyAlignment="1">
      <alignment vertical="center"/>
    </xf>
    <xf numFmtId="11" fontId="0" fillId="0" borderId="0" xfId="0" applyNumberFormat="1" applyAlignment="1">
      <alignment vertical="center"/>
    </xf>
    <xf numFmtId="0" fontId="3" fillId="10" borderId="4" xfId="0" applyFont="1" applyFill="1" applyBorder="1" applyAlignment="1">
      <alignment horizontal="center" vertical="center"/>
    </xf>
    <xf numFmtId="0" fontId="3" fillId="0" borderId="4" xfId="0" applyFont="1" applyFill="1" applyBorder="1" applyAlignment="1">
      <alignment horizontal="center" vertical="center"/>
    </xf>
    <xf numFmtId="165" fontId="3" fillId="4" borderId="0" xfId="0" applyNumberFormat="1" applyFont="1" applyFill="1" applyBorder="1" applyAlignment="1">
      <alignment horizontal="center" vertical="center"/>
    </xf>
    <xf numFmtId="2" fontId="2" fillId="0" borderId="0" xfId="0" applyNumberFormat="1" applyFont="1" applyFill="1" applyBorder="1" applyAlignment="1">
      <alignment vertical="center"/>
    </xf>
    <xf numFmtId="165" fontId="3" fillId="6" borderId="4" xfId="0" applyNumberFormat="1" applyFont="1" applyFill="1" applyBorder="1" applyAlignment="1" applyProtection="1">
      <alignment horizontal="center" vertical="center"/>
      <protection locked="0"/>
    </xf>
    <xf numFmtId="0" fontId="3" fillId="6" borderId="4" xfId="0" applyFont="1" applyFill="1" applyBorder="1" applyAlignment="1">
      <alignment horizontal="left" vertical="center"/>
    </xf>
    <xf numFmtId="164" fontId="0" fillId="0" borderId="0" xfId="0" applyNumberFormat="1" applyAlignment="1">
      <alignment vertical="center"/>
    </xf>
    <xf numFmtId="11" fontId="2" fillId="0" borderId="0" xfId="0" applyNumberFormat="1" applyFont="1" applyFill="1" applyAlignment="1">
      <alignment vertical="center"/>
    </xf>
    <xf numFmtId="0" fontId="2" fillId="6" borderId="4" xfId="0" applyFont="1" applyFill="1" applyBorder="1" applyAlignment="1">
      <alignment vertical="center"/>
    </xf>
    <xf numFmtId="0" fontId="2" fillId="6" borderId="4" xfId="0" applyFont="1" applyFill="1" applyBorder="1" applyAlignment="1">
      <alignment horizontal="center" vertical="center"/>
    </xf>
    <xf numFmtId="0" fontId="14" fillId="6" borderId="0" xfId="0" applyFont="1" applyFill="1" applyAlignment="1">
      <alignment vertical="center"/>
    </xf>
    <xf numFmtId="0" fontId="14" fillId="6" borderId="0" xfId="0" applyFont="1" applyFill="1" applyAlignment="1">
      <alignment horizontal="center" vertical="center"/>
    </xf>
    <xf numFmtId="10" fontId="0" fillId="0" borderId="0" xfId="0" applyNumberFormat="1" applyAlignment="1">
      <alignment vertical="center"/>
    </xf>
    <xf numFmtId="2" fontId="0" fillId="6" borderId="0" xfId="0" applyNumberFormat="1" applyFill="1" applyAlignment="1">
      <alignment horizontal="center"/>
    </xf>
    <xf numFmtId="0" fontId="12" fillId="6" borderId="0" xfId="0" applyFont="1" applyFill="1" applyBorder="1" applyAlignment="1">
      <alignment horizontal="center" vertical="center"/>
    </xf>
    <xf numFmtId="166" fontId="0" fillId="6" borderId="0" xfId="0" applyNumberFormat="1" applyFill="1" applyAlignment="1">
      <alignment horizontal="center"/>
    </xf>
    <xf numFmtId="0" fontId="13" fillId="6" borderId="30" xfId="0" applyFont="1" applyFill="1" applyBorder="1" applyAlignment="1"/>
    <xf numFmtId="0" fontId="13" fillId="6" borderId="0" xfId="0" applyFont="1" applyFill="1" applyBorder="1" applyAlignment="1"/>
    <xf numFmtId="0" fontId="43" fillId="6" borderId="0" xfId="0" applyFont="1" applyFill="1" applyBorder="1" applyAlignment="1">
      <alignment horizontal="left" vertical="center"/>
    </xf>
    <xf numFmtId="0" fontId="11" fillId="6" borderId="0" xfId="0" applyFont="1" applyFill="1" applyAlignment="1">
      <alignment vertical="center" wrapText="1"/>
    </xf>
    <xf numFmtId="1" fontId="3" fillId="4" borderId="4" xfId="0" applyNumberFormat="1" applyFont="1" applyFill="1" applyBorder="1" applyAlignment="1" applyProtection="1">
      <alignment horizontal="center" vertical="center"/>
      <protection locked="0"/>
    </xf>
    <xf numFmtId="2" fontId="17" fillId="4" borderId="4" xfId="0" applyNumberFormat="1" applyFont="1" applyFill="1" applyBorder="1" applyAlignment="1" applyProtection="1">
      <alignment horizontal="center" vertical="center" wrapText="1"/>
      <protection locked="0"/>
    </xf>
    <xf numFmtId="0" fontId="3" fillId="4" borderId="4" xfId="0" applyFont="1" applyFill="1" applyBorder="1" applyAlignment="1" applyProtection="1">
      <alignment horizontal="center"/>
      <protection locked="0"/>
    </xf>
    <xf numFmtId="0" fontId="8" fillId="0" borderId="12" xfId="0" applyFont="1" applyBorder="1" applyAlignment="1" applyProtection="1">
      <alignment vertical="center"/>
      <protection locked="0"/>
    </xf>
    <xf numFmtId="0" fontId="8" fillId="0" borderId="0" xfId="0" applyFont="1" applyBorder="1" applyAlignment="1" applyProtection="1">
      <alignment horizontal="center" vertical="center"/>
      <protection locked="0"/>
    </xf>
    <xf numFmtId="0" fontId="8" fillId="0" borderId="0" xfId="0" applyFont="1" applyBorder="1" applyAlignment="1" applyProtection="1">
      <alignment vertical="center"/>
      <protection locked="0"/>
    </xf>
    <xf numFmtId="0" fontId="8" fillId="0" borderId="13" xfId="0" applyFont="1" applyBorder="1" applyAlignment="1" applyProtection="1">
      <alignment vertical="center"/>
      <protection locked="0"/>
    </xf>
    <xf numFmtId="0" fontId="0" fillId="0" borderId="12" xfId="0" applyBorder="1" applyProtection="1">
      <protection locked="0"/>
    </xf>
    <xf numFmtId="0" fontId="0" fillId="0" borderId="0" xfId="0" applyBorder="1" applyAlignment="1" applyProtection="1">
      <alignment horizontal="center"/>
      <protection locked="0"/>
    </xf>
    <xf numFmtId="0" fontId="0" fillId="0" borderId="0" xfId="0" applyBorder="1" applyProtection="1">
      <protection locked="0"/>
    </xf>
    <xf numFmtId="0" fontId="0" fillId="0" borderId="13" xfId="0" applyBorder="1" applyAlignment="1" applyProtection="1">
      <alignment horizontal="center" vertical="center"/>
      <protection locked="0"/>
    </xf>
    <xf numFmtId="0" fontId="11" fillId="0" borderId="14" xfId="0" applyFont="1" applyBorder="1" applyProtection="1">
      <protection locked="0"/>
    </xf>
    <xf numFmtId="0" fontId="11" fillId="0" borderId="4" xfId="0" applyFont="1" applyBorder="1" applyAlignment="1" applyProtection="1">
      <alignment horizontal="center"/>
      <protection locked="0"/>
    </xf>
    <xf numFmtId="0" fontId="11" fillId="0" borderId="15" xfId="0" applyFont="1" applyBorder="1" applyAlignment="1" applyProtection="1">
      <alignment horizontal="center" vertical="center"/>
      <protection locked="0"/>
    </xf>
    <xf numFmtId="0" fontId="0" fillId="0" borderId="14" xfId="0" applyBorder="1" applyProtection="1">
      <protection locked="0"/>
    </xf>
    <xf numFmtId="0" fontId="0" fillId="0" borderId="4" xfId="0" applyBorder="1" applyAlignment="1" applyProtection="1">
      <alignment horizontal="center"/>
      <protection locked="0"/>
    </xf>
    <xf numFmtId="0" fontId="0" fillId="0" borderId="4" xfId="0" applyBorder="1" applyProtection="1">
      <protection locked="0"/>
    </xf>
    <xf numFmtId="0" fontId="0" fillId="0" borderId="15" xfId="0" applyBorder="1" applyAlignment="1" applyProtection="1">
      <alignment horizontal="center" vertical="center"/>
      <protection locked="0"/>
    </xf>
    <xf numFmtId="1" fontId="0" fillId="0" borderId="4" xfId="0" applyNumberFormat="1" applyBorder="1" applyAlignment="1" applyProtection="1">
      <alignment horizontal="center"/>
      <protection locked="0"/>
    </xf>
    <xf numFmtId="0" fontId="0" fillId="0" borderId="0" xfId="0" applyAlignment="1" applyProtection="1">
      <alignment horizontal="center"/>
      <protection locked="0"/>
    </xf>
    <xf numFmtId="2" fontId="0" fillId="0" borderId="4" xfId="0" applyNumberFormat="1" applyBorder="1" applyAlignment="1" applyProtection="1">
      <alignment horizontal="center"/>
      <protection locked="0"/>
    </xf>
    <xf numFmtId="165" fontId="0" fillId="0" borderId="4" xfId="0" applyNumberFormat="1" applyBorder="1" applyAlignment="1" applyProtection="1">
      <alignment horizontal="center"/>
      <protection locked="0"/>
    </xf>
    <xf numFmtId="0" fontId="0" fillId="0" borderId="4" xfId="0" applyBorder="1" applyAlignment="1" applyProtection="1">
      <alignment horizontal="center" vertical="center"/>
      <protection locked="0"/>
    </xf>
    <xf numFmtId="1" fontId="0" fillId="0" borderId="4" xfId="0" applyNumberFormat="1" applyBorder="1" applyAlignment="1" applyProtection="1">
      <alignment horizontal="center" vertical="center"/>
      <protection locked="0"/>
    </xf>
    <xf numFmtId="0" fontId="16" fillId="0" borderId="15" xfId="0" applyFont="1" applyBorder="1" applyAlignment="1" applyProtection="1">
      <alignment horizontal="center"/>
      <protection locked="0"/>
    </xf>
    <xf numFmtId="0" fontId="0" fillId="0" borderId="16" xfId="0" applyBorder="1" applyProtection="1">
      <protection locked="0"/>
    </xf>
    <xf numFmtId="0" fontId="0" fillId="0" borderId="17" xfId="0" applyBorder="1" applyAlignment="1" applyProtection="1">
      <alignment horizontal="center"/>
      <protection locked="0"/>
    </xf>
    <xf numFmtId="0" fontId="0" fillId="0" borderId="18" xfId="0" applyBorder="1" applyAlignment="1" applyProtection="1">
      <alignment horizontal="center" vertical="center"/>
      <protection locked="0"/>
    </xf>
    <xf numFmtId="164" fontId="3" fillId="4" borderId="4" xfId="0" applyNumberFormat="1" applyFont="1" applyFill="1" applyBorder="1" applyAlignment="1" applyProtection="1">
      <alignment horizontal="center"/>
      <protection locked="0"/>
    </xf>
    <xf numFmtId="3" fontId="3" fillId="4" borderId="4" xfId="0" applyNumberFormat="1" applyFont="1" applyFill="1" applyBorder="1" applyAlignment="1" applyProtection="1">
      <alignment horizontal="center" vertical="center"/>
      <protection locked="0"/>
    </xf>
    <xf numFmtId="0" fontId="3" fillId="10" borderId="4" xfId="0" applyFont="1" applyFill="1" applyBorder="1" applyProtection="1"/>
    <xf numFmtId="0" fontId="3" fillId="0" borderId="4" xfId="0" applyFont="1" applyBorder="1" applyAlignment="1" applyProtection="1">
      <alignment horizontal="center"/>
    </xf>
    <xf numFmtId="14" fontId="4" fillId="0" borderId="0" xfId="0" applyNumberFormat="1" applyFont="1" applyAlignment="1">
      <alignment horizontal="center"/>
    </xf>
    <xf numFmtId="0" fontId="4" fillId="0" borderId="0" xfId="0" applyFont="1" applyAlignment="1">
      <alignment horizontal="center"/>
    </xf>
    <xf numFmtId="0" fontId="7" fillId="0" borderId="0" xfId="0" applyFont="1" applyAlignment="1">
      <alignment horizontal="center" vertical="center" wrapText="1"/>
    </xf>
    <xf numFmtId="0" fontId="7" fillId="0" borderId="10" xfId="0" applyFont="1" applyBorder="1" applyAlignment="1">
      <alignment horizontal="center" vertical="center" wrapText="1"/>
    </xf>
    <xf numFmtId="0" fontId="7" fillId="0" borderId="3" xfId="0" applyFont="1" applyBorder="1" applyAlignment="1">
      <alignment horizontal="center" vertical="center" wrapText="1"/>
    </xf>
    <xf numFmtId="0" fontId="7" fillId="0" borderId="11" xfId="0" applyFont="1" applyBorder="1" applyAlignment="1">
      <alignment horizontal="center" vertical="center" wrapText="1"/>
    </xf>
    <xf numFmtId="0" fontId="10" fillId="0" borderId="0" xfId="0" applyFont="1" applyAlignment="1">
      <alignment horizontal="center" vertical="center" wrapText="1"/>
    </xf>
    <xf numFmtId="0" fontId="7" fillId="4" borderId="4" xfId="0" applyFont="1" applyFill="1" applyBorder="1" applyAlignment="1">
      <alignment horizontal="center" vertical="center" wrapText="1"/>
    </xf>
    <xf numFmtId="0" fontId="7" fillId="3" borderId="4" xfId="0" applyFont="1" applyFill="1" applyBorder="1" applyAlignment="1">
      <alignment horizontal="center" vertical="center" wrapText="1"/>
    </xf>
    <xf numFmtId="0" fontId="7" fillId="5" borderId="4" xfId="0" applyFont="1" applyFill="1" applyBorder="1" applyAlignment="1">
      <alignment horizontal="center" vertical="center" wrapText="1"/>
    </xf>
    <xf numFmtId="0" fontId="7" fillId="9" borderId="4" xfId="0" applyFont="1" applyFill="1" applyBorder="1" applyAlignment="1">
      <alignment horizontal="center" vertical="center" wrapText="1"/>
    </xf>
    <xf numFmtId="0" fontId="7" fillId="2" borderId="3" xfId="0" applyFont="1" applyFill="1" applyBorder="1" applyAlignment="1">
      <alignment horizontal="center" vertical="center"/>
    </xf>
    <xf numFmtId="0" fontId="7" fillId="2" borderId="0" xfId="0" applyFont="1" applyFill="1" applyBorder="1" applyAlignment="1">
      <alignment horizontal="center" vertical="center"/>
    </xf>
    <xf numFmtId="0" fontId="7" fillId="2" borderId="5" xfId="0" applyFont="1" applyFill="1" applyBorder="1" applyAlignment="1">
      <alignment horizontal="center" vertical="center"/>
    </xf>
    <xf numFmtId="0" fontId="8" fillId="2" borderId="1" xfId="0" applyFont="1" applyFill="1" applyBorder="1" applyAlignment="1">
      <alignment horizontal="center"/>
    </xf>
    <xf numFmtId="0" fontId="8" fillId="2" borderId="2" xfId="0" applyFont="1" applyFill="1" applyBorder="1" applyAlignment="1">
      <alignment horizontal="center"/>
    </xf>
    <xf numFmtId="0" fontId="3" fillId="10" borderId="4" xfId="0" applyFont="1" applyFill="1" applyBorder="1" applyAlignment="1">
      <alignment horizontal="center" vertical="center"/>
    </xf>
    <xf numFmtId="0" fontId="2" fillId="6" borderId="8" xfId="0" applyFont="1" applyFill="1" applyBorder="1" applyAlignment="1">
      <alignment horizontal="center" vertical="center"/>
    </xf>
    <xf numFmtId="0" fontId="2" fillId="6" borderId="9" xfId="0" applyFont="1" applyFill="1" applyBorder="1" applyAlignment="1">
      <alignment horizontal="center" vertical="center"/>
    </xf>
    <xf numFmtId="0" fontId="2" fillId="0" borderId="0" xfId="0" applyFont="1" applyFill="1" applyAlignment="1">
      <alignment horizontal="center" vertical="center"/>
    </xf>
    <xf numFmtId="0" fontId="1" fillId="0" borderId="0" xfId="0" applyFont="1" applyFill="1" applyBorder="1" applyAlignment="1">
      <alignment horizontal="center" vertical="center"/>
    </xf>
    <xf numFmtId="0" fontId="8" fillId="0" borderId="0" xfId="0" applyFont="1" applyFill="1" applyBorder="1" applyAlignment="1">
      <alignment horizontal="center" vertical="center"/>
    </xf>
    <xf numFmtId="0" fontId="3" fillId="4" borderId="6" xfId="0" applyFont="1" applyFill="1" applyBorder="1" applyAlignment="1" applyProtection="1">
      <alignment horizontal="center" vertical="center"/>
      <protection locked="0"/>
    </xf>
    <xf numFmtId="0" fontId="3" fillId="4" borderId="7" xfId="0" applyFont="1" applyFill="1" applyBorder="1" applyAlignment="1" applyProtection="1">
      <alignment horizontal="center" vertical="center"/>
      <protection locked="0"/>
    </xf>
    <xf numFmtId="1" fontId="3" fillId="4" borderId="4" xfId="0" applyNumberFormat="1" applyFont="1" applyFill="1" applyBorder="1" applyAlignment="1" applyProtection="1">
      <alignment horizontal="center" vertical="center"/>
      <protection locked="0"/>
    </xf>
    <xf numFmtId="0" fontId="3" fillId="10" borderId="8" xfId="0" applyFont="1" applyFill="1" applyBorder="1" applyAlignment="1">
      <alignment horizontal="center" vertical="center"/>
    </xf>
    <xf numFmtId="0" fontId="3" fillId="10" borderId="9" xfId="0" applyFont="1" applyFill="1" applyBorder="1" applyAlignment="1">
      <alignment horizontal="center" vertical="center"/>
    </xf>
    <xf numFmtId="0" fontId="1" fillId="0" borderId="0" xfId="0" applyFont="1" applyFill="1" applyAlignment="1">
      <alignment horizontal="center" vertical="center"/>
    </xf>
    <xf numFmtId="0" fontId="11" fillId="10" borderId="8" xfId="0" applyFont="1" applyFill="1" applyBorder="1" applyAlignment="1">
      <alignment horizontal="center" vertical="center"/>
    </xf>
    <xf numFmtId="164" fontId="3" fillId="4" borderId="6" xfId="0" applyNumberFormat="1" applyFont="1" applyFill="1" applyBorder="1" applyAlignment="1" applyProtection="1">
      <alignment horizontal="center" vertical="center"/>
      <protection locked="0"/>
    </xf>
    <xf numFmtId="164" fontId="3" fillId="4" borderId="7" xfId="0" applyNumberFormat="1" applyFont="1" applyFill="1" applyBorder="1" applyAlignment="1" applyProtection="1">
      <alignment horizontal="center" vertical="center"/>
      <protection locked="0"/>
    </xf>
    <xf numFmtId="2" fontId="3" fillId="3" borderId="4" xfId="0" applyNumberFormat="1" applyFont="1" applyFill="1" applyBorder="1" applyAlignment="1">
      <alignment horizontal="center" vertical="center"/>
    </xf>
    <xf numFmtId="0" fontId="3" fillId="10" borderId="4" xfId="0" applyFont="1" applyFill="1" applyBorder="1" applyAlignment="1">
      <alignment horizontal="center" vertical="center" wrapText="1"/>
    </xf>
    <xf numFmtId="0" fontId="3" fillId="3" borderId="6" xfId="0" applyFont="1" applyFill="1" applyBorder="1" applyAlignment="1">
      <alignment horizontal="center" vertical="center"/>
    </xf>
    <xf numFmtId="0" fontId="3" fillId="3" borderId="7" xfId="0" applyFont="1" applyFill="1" applyBorder="1" applyAlignment="1">
      <alignment horizontal="center" vertical="center"/>
    </xf>
    <xf numFmtId="2" fontId="3" fillId="3" borderId="35" xfId="0" applyNumberFormat="1" applyFont="1" applyFill="1" applyBorder="1" applyAlignment="1">
      <alignment horizontal="center" vertical="center" wrapText="1"/>
    </xf>
    <xf numFmtId="2" fontId="3" fillId="3" borderId="36" xfId="0" applyNumberFormat="1" applyFont="1" applyFill="1" applyBorder="1" applyAlignment="1">
      <alignment horizontal="center" vertical="center" wrapText="1"/>
    </xf>
    <xf numFmtId="2" fontId="3" fillId="3" borderId="30" xfId="0" applyNumberFormat="1" applyFont="1" applyFill="1" applyBorder="1" applyAlignment="1">
      <alignment horizontal="center" vertical="center" wrapText="1"/>
    </xf>
    <xf numFmtId="2" fontId="3" fillId="3" borderId="0" xfId="0" applyNumberFormat="1" applyFont="1" applyFill="1" applyBorder="1" applyAlignment="1">
      <alignment horizontal="center" vertical="center" wrapText="1"/>
    </xf>
    <xf numFmtId="1" fontId="3" fillId="6" borderId="6" xfId="0" applyNumberFormat="1" applyFont="1" applyFill="1" applyBorder="1" applyAlignment="1">
      <alignment horizontal="center" vertical="center"/>
    </xf>
    <xf numFmtId="1" fontId="3" fillId="6" borderId="7" xfId="0" applyNumberFormat="1" applyFont="1" applyFill="1" applyBorder="1" applyAlignment="1">
      <alignment horizontal="center" vertical="center"/>
    </xf>
    <xf numFmtId="0" fontId="13" fillId="6" borderId="6" xfId="0" applyFont="1" applyFill="1" applyBorder="1" applyAlignment="1">
      <alignment horizontal="center" vertical="center" wrapText="1"/>
    </xf>
    <xf numFmtId="0" fontId="13" fillId="6" borderId="19" xfId="0" applyFont="1" applyFill="1" applyBorder="1" applyAlignment="1">
      <alignment horizontal="center" vertical="center" wrapText="1"/>
    </xf>
    <xf numFmtId="0" fontId="13" fillId="6" borderId="7" xfId="0" applyFont="1" applyFill="1" applyBorder="1" applyAlignment="1">
      <alignment horizontal="center" vertical="center" wrapText="1"/>
    </xf>
    <xf numFmtId="165" fontId="3" fillId="4" borderId="6" xfId="0" applyNumberFormat="1" applyFont="1" applyFill="1" applyBorder="1" applyAlignment="1" applyProtection="1">
      <alignment horizontal="center" vertical="center"/>
      <protection locked="0"/>
    </xf>
    <xf numFmtId="165" fontId="3" fillId="4" borderId="7" xfId="0" applyNumberFormat="1" applyFont="1" applyFill="1" applyBorder="1" applyAlignment="1" applyProtection="1">
      <alignment horizontal="center" vertical="center"/>
      <protection locked="0"/>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0" fontId="1" fillId="0" borderId="5" xfId="0" applyFont="1" applyFill="1" applyBorder="1" applyAlignment="1">
      <alignment horizontal="center" vertical="center"/>
    </xf>
    <xf numFmtId="0" fontId="3" fillId="3" borderId="4" xfId="0" applyFont="1" applyFill="1" applyBorder="1" applyAlignment="1">
      <alignment horizontal="center" vertical="center"/>
    </xf>
    <xf numFmtId="165" fontId="3" fillId="4" borderId="8" xfId="0" applyNumberFormat="1" applyFont="1" applyFill="1" applyBorder="1" applyAlignment="1" applyProtection="1">
      <alignment horizontal="center" vertical="center"/>
      <protection locked="0"/>
    </xf>
    <xf numFmtId="165" fontId="3" fillId="4" borderId="9" xfId="0" applyNumberFormat="1" applyFont="1" applyFill="1" applyBorder="1" applyAlignment="1" applyProtection="1">
      <alignment horizontal="center" vertical="center"/>
      <protection locked="0"/>
    </xf>
    <xf numFmtId="165" fontId="3" fillId="3" borderId="6" xfId="0" applyNumberFormat="1" applyFont="1" applyFill="1" applyBorder="1" applyAlignment="1">
      <alignment horizontal="center" vertical="center"/>
    </xf>
    <xf numFmtId="165" fontId="3" fillId="3" borderId="7" xfId="0" applyNumberFormat="1" applyFont="1" applyFill="1" applyBorder="1" applyAlignment="1">
      <alignment horizontal="center" vertical="center"/>
    </xf>
    <xf numFmtId="165" fontId="3" fillId="3" borderId="4" xfId="0" applyNumberFormat="1" applyFont="1" applyFill="1" applyBorder="1" applyAlignment="1">
      <alignment horizontal="center" vertical="center"/>
    </xf>
    <xf numFmtId="0" fontId="12" fillId="0" borderId="6" xfId="0" applyFont="1" applyFill="1" applyBorder="1" applyAlignment="1">
      <alignment horizontal="center" vertical="center"/>
    </xf>
    <xf numFmtId="0" fontId="12" fillId="0" borderId="7" xfId="0" applyFont="1" applyFill="1" applyBorder="1" applyAlignment="1">
      <alignment horizontal="center" vertical="center"/>
    </xf>
    <xf numFmtId="0" fontId="13" fillId="6" borderId="6" xfId="0" applyFont="1" applyFill="1" applyBorder="1" applyAlignment="1">
      <alignment horizontal="center" vertical="center"/>
    </xf>
    <xf numFmtId="0" fontId="13" fillId="6" borderId="7" xfId="0" applyFont="1" applyFill="1" applyBorder="1" applyAlignment="1">
      <alignment horizontal="center" vertical="center"/>
    </xf>
    <xf numFmtId="0" fontId="2" fillId="6" borderId="6" xfId="0" applyFont="1" applyFill="1" applyBorder="1" applyAlignment="1">
      <alignment horizontal="center" vertical="center"/>
    </xf>
    <xf numFmtId="0" fontId="2" fillId="6" borderId="7" xfId="0" applyFont="1" applyFill="1" applyBorder="1" applyAlignment="1">
      <alignment horizontal="center" vertical="center"/>
    </xf>
    <xf numFmtId="165" fontId="3" fillId="3" borderId="6" xfId="0" applyNumberFormat="1" applyFont="1" applyFill="1" applyBorder="1" applyAlignment="1" applyProtection="1">
      <alignment horizontal="center" vertical="center" wrapText="1"/>
    </xf>
    <xf numFmtId="165" fontId="3" fillId="3" borderId="7" xfId="0" applyNumberFormat="1" applyFont="1" applyFill="1" applyBorder="1" applyAlignment="1" applyProtection="1">
      <alignment horizontal="center" vertical="center" wrapText="1"/>
    </xf>
    <xf numFmtId="2" fontId="3" fillId="4" borderId="6" xfId="0" applyNumberFormat="1" applyFont="1" applyFill="1" applyBorder="1" applyAlignment="1" applyProtection="1">
      <alignment horizontal="center" vertical="center" wrapText="1"/>
      <protection locked="0"/>
    </xf>
    <xf numFmtId="2" fontId="3" fillId="4" borderId="7" xfId="0" applyNumberFormat="1" applyFont="1" applyFill="1" applyBorder="1" applyAlignment="1" applyProtection="1">
      <alignment horizontal="center" vertical="center" wrapText="1"/>
      <protection locked="0"/>
    </xf>
    <xf numFmtId="0" fontId="3" fillId="10" borderId="6" xfId="0" applyFont="1" applyFill="1" applyBorder="1" applyAlignment="1">
      <alignment horizontal="center" vertical="center" wrapText="1"/>
    </xf>
    <xf numFmtId="0" fontId="3" fillId="10" borderId="7" xfId="0" applyFont="1" applyFill="1" applyBorder="1" applyAlignment="1">
      <alignment horizontal="center" vertical="center" wrapText="1"/>
    </xf>
    <xf numFmtId="0" fontId="8" fillId="0" borderId="0" xfId="0" applyFont="1" applyFill="1" applyBorder="1" applyAlignment="1" applyProtection="1">
      <alignment horizontal="center" vertical="center"/>
    </xf>
    <xf numFmtId="0" fontId="2" fillId="0" borderId="0" xfId="0" applyFont="1" applyFill="1" applyAlignment="1" applyProtection="1">
      <alignment horizontal="center" vertical="center"/>
    </xf>
    <xf numFmtId="0" fontId="1" fillId="0" borderId="0" xfId="0" applyFont="1" applyFill="1" applyBorder="1" applyAlignment="1" applyProtection="1">
      <alignment horizontal="center" vertical="center"/>
    </xf>
    <xf numFmtId="0" fontId="3" fillId="10" borderId="4" xfId="0" applyFont="1" applyFill="1" applyBorder="1" applyAlignment="1" applyProtection="1">
      <alignment horizontal="center"/>
    </xf>
    <xf numFmtId="0" fontId="3" fillId="10" borderId="8" xfId="0" applyFont="1" applyFill="1" applyBorder="1" applyAlignment="1" applyProtection="1">
      <alignment horizontal="center"/>
    </xf>
    <xf numFmtId="0" fontId="3" fillId="10" borderId="9" xfId="0" applyFont="1" applyFill="1" applyBorder="1" applyAlignment="1" applyProtection="1">
      <alignment horizontal="center"/>
    </xf>
    <xf numFmtId="0" fontId="3" fillId="3" borderId="6" xfId="0" applyFont="1" applyFill="1" applyBorder="1" applyAlignment="1" applyProtection="1">
      <alignment horizontal="center" vertical="center"/>
    </xf>
    <xf numFmtId="0" fontId="3" fillId="3" borderId="7" xfId="0" applyFont="1" applyFill="1" applyBorder="1" applyAlignment="1" applyProtection="1">
      <alignment horizontal="center" vertical="center"/>
    </xf>
    <xf numFmtId="0" fontId="3" fillId="0" borderId="6" xfId="0" applyFont="1" applyFill="1" applyBorder="1" applyAlignment="1" applyProtection="1">
      <alignment horizontal="center" vertical="center"/>
    </xf>
    <xf numFmtId="0" fontId="3" fillId="0" borderId="7" xfId="0" applyFont="1" applyFill="1" applyBorder="1" applyAlignment="1" applyProtection="1">
      <alignment horizontal="center" vertical="center"/>
    </xf>
    <xf numFmtId="164" fontId="3" fillId="3" borderId="6" xfId="0" applyNumberFormat="1" applyFont="1" applyFill="1" applyBorder="1" applyAlignment="1" applyProtection="1">
      <alignment horizontal="center" vertical="center"/>
    </xf>
    <xf numFmtId="164" fontId="3" fillId="3" borderId="7" xfId="0" applyNumberFormat="1" applyFont="1" applyFill="1" applyBorder="1" applyAlignment="1" applyProtection="1">
      <alignment horizontal="center" vertical="center"/>
    </xf>
    <xf numFmtId="0" fontId="12" fillId="0" borderId="6" xfId="0" applyFont="1" applyFill="1" applyBorder="1" applyAlignment="1" applyProtection="1">
      <alignment horizontal="center" vertical="center"/>
    </xf>
    <xf numFmtId="0" fontId="12" fillId="0" borderId="7" xfId="0" applyFont="1" applyFill="1" applyBorder="1" applyAlignment="1" applyProtection="1">
      <alignment horizontal="center" vertical="center"/>
    </xf>
    <xf numFmtId="0" fontId="3" fillId="6" borderId="4" xfId="0" applyFont="1" applyFill="1" applyBorder="1" applyAlignment="1" applyProtection="1">
      <alignment horizontal="center"/>
    </xf>
    <xf numFmtId="0" fontId="11" fillId="10" borderId="8" xfId="0" applyFont="1" applyFill="1" applyBorder="1" applyAlignment="1" applyProtection="1">
      <alignment horizontal="center"/>
    </xf>
    <xf numFmtId="0" fontId="1" fillId="0" borderId="0" xfId="0" applyFont="1" applyFill="1" applyAlignment="1" applyProtection="1">
      <alignment horizontal="center" vertical="center"/>
    </xf>
    <xf numFmtId="2" fontId="3" fillId="3" borderId="35" xfId="0" applyNumberFormat="1" applyFont="1" applyFill="1" applyBorder="1" applyAlignment="1" applyProtection="1">
      <alignment horizontal="center" vertical="center" wrapText="1"/>
    </xf>
    <xf numFmtId="2" fontId="3" fillId="3" borderId="36" xfId="0" applyNumberFormat="1" applyFont="1" applyFill="1" applyBorder="1" applyAlignment="1" applyProtection="1">
      <alignment horizontal="center" vertical="center" wrapText="1"/>
    </xf>
    <xf numFmtId="2" fontId="3" fillId="3" borderId="30" xfId="0" applyNumberFormat="1" applyFont="1" applyFill="1" applyBorder="1" applyAlignment="1" applyProtection="1">
      <alignment horizontal="center" vertical="center" wrapText="1"/>
    </xf>
    <xf numFmtId="2" fontId="3" fillId="3" borderId="0" xfId="0" applyNumberFormat="1" applyFont="1" applyFill="1" applyBorder="1" applyAlignment="1" applyProtection="1">
      <alignment horizontal="center" vertical="center" wrapText="1"/>
    </xf>
    <xf numFmtId="0" fontId="3" fillId="10" borderId="4" xfId="0" applyFont="1" applyFill="1" applyBorder="1" applyAlignment="1" applyProtection="1">
      <alignment horizontal="center" vertical="center" wrapText="1"/>
    </xf>
    <xf numFmtId="1" fontId="3" fillId="3" borderId="4" xfId="0" applyNumberFormat="1" applyFont="1" applyFill="1" applyBorder="1" applyAlignment="1" applyProtection="1">
      <alignment horizontal="center" vertical="center"/>
    </xf>
    <xf numFmtId="2" fontId="3" fillId="3" borderId="4" xfId="0" applyNumberFormat="1" applyFont="1" applyFill="1" applyBorder="1" applyAlignment="1" applyProtection="1">
      <alignment horizontal="center" vertical="center"/>
    </xf>
    <xf numFmtId="0" fontId="3" fillId="3" borderId="4" xfId="0" applyFont="1" applyFill="1" applyBorder="1" applyAlignment="1" applyProtection="1">
      <alignment horizontal="center" vertical="center"/>
    </xf>
    <xf numFmtId="0" fontId="1" fillId="0" borderId="5" xfId="0" applyFont="1" applyFill="1" applyBorder="1" applyAlignment="1" applyProtection="1">
      <alignment horizontal="center"/>
    </xf>
    <xf numFmtId="165" fontId="3" fillId="6" borderId="6" xfId="0" applyNumberFormat="1" applyFont="1" applyFill="1" applyBorder="1" applyAlignment="1" applyProtection="1">
      <alignment horizontal="center" vertical="center" wrapText="1"/>
    </xf>
    <xf numFmtId="165" fontId="3" fillId="6" borderId="7" xfId="0" applyNumberFormat="1" applyFont="1" applyFill="1" applyBorder="1" applyAlignment="1" applyProtection="1">
      <alignment horizontal="center" vertical="center" wrapText="1"/>
    </xf>
    <xf numFmtId="2" fontId="3" fillId="6" borderId="6" xfId="0" applyNumberFormat="1" applyFont="1" applyFill="1" applyBorder="1" applyAlignment="1" applyProtection="1">
      <alignment horizontal="center" vertical="center" wrapText="1"/>
    </xf>
    <xf numFmtId="2" fontId="3" fillId="6" borderId="7" xfId="0" applyNumberFormat="1" applyFont="1" applyFill="1" applyBorder="1" applyAlignment="1" applyProtection="1">
      <alignment horizontal="center" vertical="center" wrapText="1"/>
    </xf>
    <xf numFmtId="165" fontId="3" fillId="3" borderId="6" xfId="0" applyNumberFormat="1" applyFont="1" applyFill="1" applyBorder="1" applyAlignment="1" applyProtection="1">
      <alignment horizontal="center" vertical="center"/>
    </xf>
    <xf numFmtId="165" fontId="3" fillId="3" borderId="7" xfId="0" applyNumberFormat="1" applyFont="1" applyFill="1" applyBorder="1" applyAlignment="1" applyProtection="1">
      <alignment horizontal="center" vertical="center"/>
    </xf>
    <xf numFmtId="165" fontId="3" fillId="3" borderId="4" xfId="0" applyNumberFormat="1" applyFont="1" applyFill="1" applyBorder="1" applyAlignment="1" applyProtection="1">
      <alignment horizontal="center" vertical="center"/>
    </xf>
    <xf numFmtId="0" fontId="2" fillId="6" borderId="6" xfId="0" applyFont="1" applyFill="1" applyBorder="1" applyAlignment="1" applyProtection="1">
      <alignment horizontal="center"/>
    </xf>
    <xf numFmtId="0" fontId="2" fillId="6" borderId="7" xfId="0" applyFont="1" applyFill="1" applyBorder="1" applyAlignment="1" applyProtection="1">
      <alignment horizontal="center"/>
    </xf>
    <xf numFmtId="0" fontId="13" fillId="6" borderId="6" xfId="0" applyFont="1" applyFill="1" applyBorder="1" applyAlignment="1" applyProtection="1">
      <alignment horizontal="center" wrapText="1"/>
    </xf>
    <xf numFmtId="0" fontId="13" fillId="6" borderId="7" xfId="0" applyFont="1" applyFill="1" applyBorder="1" applyAlignment="1" applyProtection="1">
      <alignment horizontal="center" wrapText="1"/>
    </xf>
    <xf numFmtId="0" fontId="3" fillId="10" borderId="6" xfId="0" applyFont="1" applyFill="1" applyBorder="1" applyAlignment="1" applyProtection="1">
      <alignment horizontal="center" wrapText="1"/>
    </xf>
    <xf numFmtId="0" fontId="3" fillId="10" borderId="7" xfId="0" applyFont="1" applyFill="1" applyBorder="1" applyAlignment="1" applyProtection="1">
      <alignment horizontal="center" wrapText="1"/>
    </xf>
    <xf numFmtId="0" fontId="13" fillId="6" borderId="19" xfId="0" applyFont="1" applyFill="1" applyBorder="1" applyAlignment="1" applyProtection="1">
      <alignment horizontal="center" wrapText="1"/>
    </xf>
    <xf numFmtId="165" fontId="3" fillId="3" borderId="8" xfId="0" applyNumberFormat="1" applyFont="1" applyFill="1" applyBorder="1" applyAlignment="1" applyProtection="1">
      <alignment horizontal="center"/>
    </xf>
    <xf numFmtId="165" fontId="3" fillId="3" borderId="9" xfId="0" applyNumberFormat="1" applyFont="1" applyFill="1" applyBorder="1" applyAlignment="1" applyProtection="1">
      <alignment horizontal="center"/>
    </xf>
    <xf numFmtId="0" fontId="13" fillId="6" borderId="6" xfId="0" applyFont="1" applyFill="1" applyBorder="1" applyAlignment="1" applyProtection="1">
      <alignment horizontal="center" vertical="center"/>
    </xf>
    <xf numFmtId="0" fontId="13" fillId="6" borderId="7" xfId="0" applyFont="1" applyFill="1" applyBorder="1" applyAlignment="1" applyProtection="1">
      <alignment horizontal="center" vertical="center"/>
    </xf>
    <xf numFmtId="0" fontId="3" fillId="0" borderId="35" xfId="0" applyFont="1" applyBorder="1" applyAlignment="1">
      <alignment horizontal="center" vertical="center"/>
    </xf>
    <xf numFmtId="0" fontId="3" fillId="0" borderId="36" xfId="0" applyFont="1" applyBorder="1" applyAlignment="1">
      <alignment horizontal="center" vertical="center"/>
    </xf>
    <xf numFmtId="0" fontId="3" fillId="0" borderId="33" xfId="0" applyFont="1" applyBorder="1" applyAlignment="1">
      <alignment horizontal="center" vertical="center"/>
    </xf>
    <xf numFmtId="0" fontId="3" fillId="0" borderId="37" xfId="0" applyFont="1" applyBorder="1" applyAlignment="1">
      <alignment horizontal="center" vertical="center"/>
    </xf>
    <xf numFmtId="0" fontId="3" fillId="0" borderId="5" xfId="0" applyFont="1" applyBorder="1" applyAlignment="1">
      <alignment horizontal="center" vertical="center"/>
    </xf>
    <xf numFmtId="0" fontId="3" fillId="0" borderId="34" xfId="0" applyFont="1" applyBorder="1" applyAlignment="1">
      <alignment horizontal="center" vertical="center"/>
    </xf>
    <xf numFmtId="0" fontId="3" fillId="0" borderId="4"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8" xfId="0" applyFont="1" applyBorder="1" applyAlignment="1">
      <alignment horizontal="center"/>
    </xf>
    <xf numFmtId="0" fontId="3" fillId="0" borderId="9" xfId="0" applyFont="1" applyBorder="1" applyAlignment="1">
      <alignment horizontal="center"/>
    </xf>
    <xf numFmtId="0" fontId="4" fillId="0" borderId="4" xfId="0" applyFont="1" applyBorder="1" applyAlignment="1">
      <alignment horizontal="center" vertical="center"/>
    </xf>
    <xf numFmtId="0" fontId="9" fillId="0" borderId="4" xfId="0" applyFont="1" applyBorder="1" applyAlignment="1">
      <alignment horizontal="left" vertical="center"/>
    </xf>
    <xf numFmtId="0" fontId="0" fillId="0" borderId="4" xfId="0" applyBorder="1" applyAlignment="1">
      <alignment horizontal="left" vertical="center"/>
    </xf>
    <xf numFmtId="0" fontId="3" fillId="0" borderId="29" xfId="0" applyFont="1" applyBorder="1" applyAlignment="1">
      <alignment horizont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4" xfId="0" applyFont="1" applyBorder="1" applyAlignment="1">
      <alignment horizontal="center" vertical="center" wrapText="1"/>
    </xf>
    <xf numFmtId="0" fontId="37" fillId="0" borderId="0" xfId="0" applyFont="1" applyFill="1" applyBorder="1" applyAlignment="1">
      <alignment horizontal="center" vertical="center"/>
    </xf>
    <xf numFmtId="0" fontId="0" fillId="0" borderId="0" xfId="0" applyFill="1" applyBorder="1" applyAlignment="1">
      <alignment horizontal="center" vertical="center"/>
    </xf>
    <xf numFmtId="0" fontId="0" fillId="0" borderId="5" xfId="0" applyFill="1" applyBorder="1" applyAlignment="1">
      <alignment horizontal="center" vertical="center"/>
    </xf>
    <xf numFmtId="0" fontId="3" fillId="0" borderId="6" xfId="0" applyFont="1" applyBorder="1" applyAlignment="1">
      <alignment horizontal="center"/>
    </xf>
    <xf numFmtId="0" fontId="3" fillId="0" borderId="4" xfId="0" applyFont="1" applyBorder="1" applyAlignment="1">
      <alignment horizontal="center"/>
    </xf>
    <xf numFmtId="2" fontId="3" fillId="0" borderId="8" xfId="0" applyNumberFormat="1" applyFont="1" applyBorder="1" applyAlignment="1">
      <alignment horizontal="center"/>
    </xf>
    <xf numFmtId="2" fontId="3" fillId="0" borderId="9" xfId="0" applyNumberFormat="1" applyFont="1" applyBorder="1" applyAlignment="1">
      <alignment horizontal="center"/>
    </xf>
    <xf numFmtId="0" fontId="3" fillId="0" borderId="0" xfId="0" applyFont="1" applyAlignment="1">
      <alignment horizontal="center" vertical="center"/>
    </xf>
    <xf numFmtId="0" fontId="3" fillId="0" borderId="29" xfId="0" applyFont="1" applyBorder="1" applyAlignment="1">
      <alignment horizontal="center" vertical="center"/>
    </xf>
    <xf numFmtId="0" fontId="11" fillId="10" borderId="30" xfId="0" applyFont="1" applyFill="1" applyBorder="1" applyAlignment="1">
      <alignment horizontal="center" vertical="center" wrapText="1"/>
    </xf>
    <xf numFmtId="0" fontId="11" fillId="10" borderId="0" xfId="0" applyFont="1" applyFill="1" applyBorder="1" applyAlignment="1">
      <alignment horizontal="center" vertical="center" wrapText="1"/>
    </xf>
    <xf numFmtId="0" fontId="13" fillId="6" borderId="30" xfId="0" applyFont="1" applyFill="1" applyBorder="1" applyAlignment="1">
      <alignment horizontal="center" vertical="center"/>
    </xf>
    <xf numFmtId="0" fontId="13" fillId="6" borderId="0" xfId="0" applyFont="1" applyFill="1" applyBorder="1" applyAlignment="1">
      <alignment horizontal="center" vertical="center"/>
    </xf>
    <xf numFmtId="0" fontId="11" fillId="0" borderId="12" xfId="0" applyFont="1" applyBorder="1" applyAlignment="1" applyProtection="1">
      <alignment horizontal="center" wrapText="1"/>
      <protection locked="0"/>
    </xf>
    <xf numFmtId="0" fontId="11" fillId="0" borderId="0" xfId="0" applyFont="1" applyBorder="1" applyAlignment="1" applyProtection="1">
      <alignment horizontal="center" wrapText="1"/>
      <protection locked="0"/>
    </xf>
    <xf numFmtId="0" fontId="11" fillId="0" borderId="13" xfId="0" applyFont="1" applyBorder="1" applyAlignment="1" applyProtection="1">
      <alignment horizontal="center" wrapText="1"/>
      <protection locked="0"/>
    </xf>
    <xf numFmtId="0" fontId="8" fillId="0" borderId="10" xfId="0" applyFont="1" applyBorder="1" applyAlignment="1" applyProtection="1">
      <alignment horizontal="center" vertical="center"/>
      <protection locked="0"/>
    </xf>
    <xf numFmtId="0" fontId="8" fillId="0" borderId="3" xfId="0" applyFont="1" applyBorder="1" applyAlignment="1" applyProtection="1">
      <alignment horizontal="center" vertical="center"/>
      <protection locked="0"/>
    </xf>
    <xf numFmtId="0" fontId="8" fillId="0" borderId="11" xfId="0" applyFont="1" applyBorder="1" applyAlignment="1" applyProtection="1">
      <alignment horizontal="center" vertical="center"/>
      <protection locked="0"/>
    </xf>
    <xf numFmtId="0" fontId="8" fillId="0" borderId="12" xfId="0" applyFont="1" applyBorder="1" applyAlignment="1" applyProtection="1">
      <alignment horizontal="center" vertical="center"/>
      <protection locked="0"/>
    </xf>
    <xf numFmtId="0" fontId="8" fillId="0" borderId="0" xfId="0" applyFont="1" applyBorder="1" applyAlignment="1" applyProtection="1">
      <alignment horizontal="center" vertical="center"/>
      <protection locked="0"/>
    </xf>
    <xf numFmtId="0" fontId="8" fillId="0" borderId="13" xfId="0" applyFont="1" applyBorder="1" applyAlignment="1" applyProtection="1">
      <alignment horizontal="center" vertical="center"/>
      <protection locked="0"/>
    </xf>
    <xf numFmtId="0" fontId="3" fillId="0" borderId="12" xfId="0" applyFont="1" applyBorder="1" applyAlignment="1" applyProtection="1">
      <alignment horizontal="center"/>
      <protection locked="0"/>
    </xf>
    <xf numFmtId="0" fontId="3" fillId="0" borderId="0" xfId="0" applyFont="1" applyBorder="1" applyAlignment="1" applyProtection="1">
      <alignment horizontal="center"/>
      <protection locked="0"/>
    </xf>
    <xf numFmtId="0" fontId="3" fillId="0" borderId="13" xfId="0" applyFont="1" applyBorder="1" applyAlignment="1" applyProtection="1">
      <alignment horizontal="center"/>
      <protection locked="0"/>
    </xf>
    <xf numFmtId="0" fontId="3" fillId="43" borderId="8" xfId="0" applyFont="1" applyFill="1" applyBorder="1" applyAlignment="1">
      <alignment horizontal="center" vertical="center"/>
    </xf>
    <xf numFmtId="0" fontId="0" fillId="43" borderId="9" xfId="0" applyFill="1" applyBorder="1" applyAlignment="1">
      <alignment horizontal="center" vertical="center"/>
    </xf>
    <xf numFmtId="0" fontId="0" fillId="0" borderId="0" xfId="0" applyAlignment="1">
      <alignment horizontal="center"/>
    </xf>
    <xf numFmtId="0" fontId="1" fillId="0" borderId="0" xfId="0" applyFont="1" applyAlignment="1">
      <alignment horizontal="center" vertical="center"/>
    </xf>
    <xf numFmtId="0" fontId="11" fillId="0" borderId="30" xfId="0" applyFont="1" applyBorder="1" applyAlignment="1">
      <alignment horizontal="center" vertical="center" wrapText="1"/>
    </xf>
    <xf numFmtId="0" fontId="11" fillId="0" borderId="0" xfId="0" applyFont="1" applyBorder="1" applyAlignment="1">
      <alignment horizontal="center" vertical="center" wrapText="1"/>
    </xf>
    <xf numFmtId="0" fontId="1" fillId="0" borderId="4" xfId="0" applyFont="1" applyBorder="1" applyAlignment="1">
      <alignment horizontal="center" vertical="center"/>
    </xf>
    <xf numFmtId="0" fontId="0" fillId="0" borderId="9" xfId="0" applyBorder="1" applyAlignment="1">
      <alignment horizontal="center" vertical="center"/>
    </xf>
    <xf numFmtId="0" fontId="11" fillId="0" borderId="8" xfId="0" applyFont="1" applyBorder="1" applyAlignment="1">
      <alignment horizontal="center" vertical="center"/>
    </xf>
    <xf numFmtId="0" fontId="39" fillId="6" borderId="35" xfId="0" applyFont="1" applyFill="1" applyBorder="1" applyAlignment="1">
      <alignment horizontal="center" vertical="center" wrapText="1"/>
    </xf>
    <xf numFmtId="0" fontId="39" fillId="6" borderId="36" xfId="0" applyFont="1" applyFill="1" applyBorder="1" applyAlignment="1">
      <alignment horizontal="center" vertical="center" wrapText="1"/>
    </xf>
    <xf numFmtId="0" fontId="1" fillId="0" borderId="8" xfId="0" applyFont="1" applyBorder="1" applyAlignment="1">
      <alignment horizontal="center" vertical="center"/>
    </xf>
    <xf numFmtId="0" fontId="1" fillId="0" borderId="29" xfId="0" applyFont="1" applyBorder="1" applyAlignment="1">
      <alignment horizontal="center" vertical="center"/>
    </xf>
    <xf numFmtId="0" fontId="1" fillId="0" borderId="9" xfId="0" applyFont="1" applyBorder="1" applyAlignment="1">
      <alignment horizontal="center" vertical="center"/>
    </xf>
    <xf numFmtId="0" fontId="9" fillId="10" borderId="4" xfId="0" applyFont="1" applyFill="1" applyBorder="1" applyAlignment="1">
      <alignment horizontal="center" vertical="center" wrapText="1"/>
    </xf>
    <xf numFmtId="0" fontId="3" fillId="43" borderId="35" xfId="0" applyFont="1" applyFill="1" applyBorder="1" applyAlignment="1">
      <alignment horizontal="center" vertical="center"/>
    </xf>
    <xf numFmtId="0" fontId="3" fillId="43" borderId="36" xfId="0" applyFont="1" applyFill="1" applyBorder="1" applyAlignment="1">
      <alignment horizontal="center" vertical="center"/>
    </xf>
    <xf numFmtId="0" fontId="3" fillId="10" borderId="4" xfId="0" applyFont="1" applyFill="1" applyBorder="1" applyAlignment="1">
      <alignment horizontal="left"/>
    </xf>
    <xf numFmtId="0" fontId="1" fillId="0" borderId="7" xfId="0" applyFont="1" applyBorder="1" applyAlignment="1">
      <alignment horizontal="center" vertical="center"/>
    </xf>
    <xf numFmtId="0" fontId="3" fillId="43" borderId="9" xfId="0" applyFont="1" applyFill="1" applyBorder="1" applyAlignment="1">
      <alignment horizontal="center" vertical="center"/>
    </xf>
    <xf numFmtId="0" fontId="3" fillId="43" borderId="30" xfId="0" applyFont="1" applyFill="1" applyBorder="1" applyAlignment="1">
      <alignment horizontal="center" vertical="center"/>
    </xf>
    <xf numFmtId="0" fontId="3" fillId="43" borderId="0" xfId="0" applyFont="1" applyFill="1" applyBorder="1" applyAlignment="1">
      <alignment horizontal="center" vertical="center"/>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hartsheet" Target="chartsheets/sheet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hartsheet" Target="chartsheets/sheet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hartsheet" Target="chartsheets/sheet1.xml"/><Relationship Id="rId5" Type="http://schemas.openxmlformats.org/officeDocument/2006/relationships/worksheet" Target="worksheets/sheet5.xml"/><Relationship Id="rId15" Type="http://schemas.openxmlformats.org/officeDocument/2006/relationships/worksheet" Target="worksheets/sheet1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hartsheet" Target="chartsheets/sheet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smoothMarker"/>
        <c:varyColors val="0"/>
        <c:ser>
          <c:idx val="0"/>
          <c:order val="0"/>
          <c:spPr>
            <a:ln w="22225" cap="rnd">
              <a:solidFill>
                <a:schemeClr val="accent1"/>
              </a:solidFill>
              <a:round/>
            </a:ln>
            <a:effectLst/>
          </c:spPr>
          <c:marker>
            <c:symbol val="none"/>
          </c:marker>
          <c:xVal>
            <c:numRef>
              <c:f>'Loop Stability Worksht'!$AT$4:$AT$40</c:f>
              <c:numCache>
                <c:formatCode>General</c:formatCode>
                <c:ptCount val="37"/>
                <c:pt idx="0">
                  <c:v>10</c:v>
                </c:pt>
                <c:pt idx="1">
                  <c:v>20</c:v>
                </c:pt>
                <c:pt idx="2">
                  <c:v>30</c:v>
                </c:pt>
                <c:pt idx="3">
                  <c:v>40</c:v>
                </c:pt>
                <c:pt idx="4">
                  <c:v>50</c:v>
                </c:pt>
                <c:pt idx="5">
                  <c:v>60</c:v>
                </c:pt>
                <c:pt idx="6">
                  <c:v>70</c:v>
                </c:pt>
                <c:pt idx="7">
                  <c:v>80</c:v>
                </c:pt>
                <c:pt idx="8">
                  <c:v>90</c:v>
                </c:pt>
                <c:pt idx="9">
                  <c:v>100</c:v>
                </c:pt>
                <c:pt idx="10">
                  <c:v>200</c:v>
                </c:pt>
                <c:pt idx="11">
                  <c:v>300</c:v>
                </c:pt>
                <c:pt idx="12">
                  <c:v>400</c:v>
                </c:pt>
                <c:pt idx="13">
                  <c:v>500</c:v>
                </c:pt>
                <c:pt idx="14">
                  <c:v>600</c:v>
                </c:pt>
                <c:pt idx="15">
                  <c:v>700</c:v>
                </c:pt>
                <c:pt idx="16">
                  <c:v>800</c:v>
                </c:pt>
                <c:pt idx="17">
                  <c:v>900</c:v>
                </c:pt>
                <c:pt idx="18">
                  <c:v>1000</c:v>
                </c:pt>
                <c:pt idx="19">
                  <c:v>2000</c:v>
                </c:pt>
                <c:pt idx="20">
                  <c:v>3000</c:v>
                </c:pt>
                <c:pt idx="21">
                  <c:v>4000</c:v>
                </c:pt>
                <c:pt idx="22">
                  <c:v>5000</c:v>
                </c:pt>
                <c:pt idx="23">
                  <c:v>6000</c:v>
                </c:pt>
                <c:pt idx="24">
                  <c:v>7000</c:v>
                </c:pt>
                <c:pt idx="25">
                  <c:v>8000</c:v>
                </c:pt>
                <c:pt idx="26">
                  <c:v>9000</c:v>
                </c:pt>
                <c:pt idx="27">
                  <c:v>10000</c:v>
                </c:pt>
                <c:pt idx="28">
                  <c:v>20000</c:v>
                </c:pt>
                <c:pt idx="29">
                  <c:v>30000</c:v>
                </c:pt>
                <c:pt idx="30">
                  <c:v>40000</c:v>
                </c:pt>
                <c:pt idx="31">
                  <c:v>50000</c:v>
                </c:pt>
                <c:pt idx="32">
                  <c:v>60000</c:v>
                </c:pt>
                <c:pt idx="33">
                  <c:v>70000</c:v>
                </c:pt>
                <c:pt idx="34">
                  <c:v>80000</c:v>
                </c:pt>
                <c:pt idx="35">
                  <c:v>90000</c:v>
                </c:pt>
                <c:pt idx="36">
                  <c:v>100000</c:v>
                </c:pt>
              </c:numCache>
            </c:numRef>
          </c:xVal>
          <c:yVal>
            <c:numRef>
              <c:f>'Loop Stability Worksht'!$AU$4:$AU$40</c:f>
              <c:numCache>
                <c:formatCode>General</c:formatCode>
                <c:ptCount val="37"/>
                <c:pt idx="0">
                  <c:v>73.092201750926492</c:v>
                </c:pt>
                <c:pt idx="1">
                  <c:v>67.017950348129204</c:v>
                </c:pt>
                <c:pt idx="2">
                  <c:v>63.408276292435303</c:v>
                </c:pt>
                <c:pt idx="3">
                  <c:v>60.789675045022676</c:v>
                </c:pt>
                <c:pt idx="4">
                  <c:v>58.702530215122515</c:v>
                </c:pt>
                <c:pt idx="5">
                  <c:v>56.944141845982529</c:v>
                </c:pt>
                <c:pt idx="6">
                  <c:v>55.408159213182664</c:v>
                </c:pt>
                <c:pt idx="7">
                  <c:v>54.032577320654894</c:v>
                </c:pt>
                <c:pt idx="8">
                  <c:v>52.778575302251639</c:v>
                </c:pt>
                <c:pt idx="9">
                  <c:v>51.620540562819947</c:v>
                </c:pt>
                <c:pt idx="10">
                  <c:v>43.014650384809173</c:v>
                </c:pt>
                <c:pt idx="11">
                  <c:v>37.300907983085629</c:v>
                </c:pt>
                <c:pt idx="12">
                  <c:v>33.148563915782418</c:v>
                </c:pt>
                <c:pt idx="13">
                  <c:v>29.979121600632901</c:v>
                </c:pt>
                <c:pt idx="14">
                  <c:v>27.470991380356917</c:v>
                </c:pt>
                <c:pt idx="15">
                  <c:v>25.428236217962883</c:v>
                </c:pt>
                <c:pt idx="16">
                  <c:v>23.724260263761586</c:v>
                </c:pt>
                <c:pt idx="17">
                  <c:v>22.273772562885952</c:v>
                </c:pt>
                <c:pt idx="18">
                  <c:v>21.017445389529357</c:v>
                </c:pt>
                <c:pt idx="19">
                  <c:v>13.508375247260396</c:v>
                </c:pt>
                <c:pt idx="20">
                  <c:v>9.3842142871622993</c:v>
                </c:pt>
                <c:pt idx="21">
                  <c:v>6.3904765368785963</c:v>
                </c:pt>
                <c:pt idx="22">
                  <c:v>3.9673737722172726</c:v>
                </c:pt>
                <c:pt idx="23">
                  <c:v>1.9012000573884986</c:v>
                </c:pt>
                <c:pt idx="24">
                  <c:v>8.9926689952208372E-2</c:v>
                </c:pt>
                <c:pt idx="25">
                  <c:v>-1.5234715009597148</c:v>
                </c:pt>
                <c:pt idx="26">
                  <c:v>-2.9751891558928136</c:v>
                </c:pt>
                <c:pt idx="27">
                  <c:v>-4.2906414062602867</c:v>
                </c:pt>
                <c:pt idx="28">
                  <c:v>-12.871233670538151</c:v>
                </c:pt>
                <c:pt idx="29">
                  <c:v>-17.432270103767195</c:v>
                </c:pt>
                <c:pt idx="30">
                  <c:v>-20.405501660866392</c:v>
                </c:pt>
                <c:pt idx="31">
                  <c:v>-22.591019738861995</c:v>
                </c:pt>
                <c:pt idx="32">
                  <c:v>-24.317665935703452</c:v>
                </c:pt>
                <c:pt idx="33">
                  <c:v>-25.746069344016014</c:v>
                </c:pt>
                <c:pt idx="34">
                  <c:v>-26.965349355804854</c:v>
                </c:pt>
                <c:pt idx="35">
                  <c:v>-28.029799377933308</c:v>
                </c:pt>
                <c:pt idx="36">
                  <c:v>-28.974892814000249</c:v>
                </c:pt>
              </c:numCache>
            </c:numRef>
          </c:yVal>
          <c:smooth val="1"/>
        </c:ser>
        <c:dLbls>
          <c:showLegendKey val="0"/>
          <c:showVal val="0"/>
          <c:showCatName val="0"/>
          <c:showSerName val="0"/>
          <c:showPercent val="0"/>
          <c:showBubbleSize val="0"/>
        </c:dLbls>
        <c:axId val="40499936"/>
        <c:axId val="40503856"/>
      </c:scatterChart>
      <c:scatterChart>
        <c:scatterStyle val="smoothMarker"/>
        <c:varyColors val="0"/>
        <c:ser>
          <c:idx val="1"/>
          <c:order val="1"/>
          <c:spPr>
            <a:ln w="22225" cap="rnd">
              <a:solidFill>
                <a:schemeClr val="accent2"/>
              </a:solidFill>
              <a:round/>
            </a:ln>
            <a:effectLst/>
          </c:spPr>
          <c:marker>
            <c:symbol val="none"/>
          </c:marker>
          <c:xVal>
            <c:numRef>
              <c:f>'Loop Stability Worksht'!$AT$4:$AT$40</c:f>
              <c:numCache>
                <c:formatCode>General</c:formatCode>
                <c:ptCount val="37"/>
                <c:pt idx="0">
                  <c:v>10</c:v>
                </c:pt>
                <c:pt idx="1">
                  <c:v>20</c:v>
                </c:pt>
                <c:pt idx="2">
                  <c:v>30</c:v>
                </c:pt>
                <c:pt idx="3">
                  <c:v>40</c:v>
                </c:pt>
                <c:pt idx="4">
                  <c:v>50</c:v>
                </c:pt>
                <c:pt idx="5">
                  <c:v>60</c:v>
                </c:pt>
                <c:pt idx="6">
                  <c:v>70</c:v>
                </c:pt>
                <c:pt idx="7">
                  <c:v>80</c:v>
                </c:pt>
                <c:pt idx="8">
                  <c:v>90</c:v>
                </c:pt>
                <c:pt idx="9">
                  <c:v>100</c:v>
                </c:pt>
                <c:pt idx="10">
                  <c:v>200</c:v>
                </c:pt>
                <c:pt idx="11">
                  <c:v>300</c:v>
                </c:pt>
                <c:pt idx="12">
                  <c:v>400</c:v>
                </c:pt>
                <c:pt idx="13">
                  <c:v>500</c:v>
                </c:pt>
                <c:pt idx="14">
                  <c:v>600</c:v>
                </c:pt>
                <c:pt idx="15">
                  <c:v>700</c:v>
                </c:pt>
                <c:pt idx="16">
                  <c:v>800</c:v>
                </c:pt>
                <c:pt idx="17">
                  <c:v>900</c:v>
                </c:pt>
                <c:pt idx="18">
                  <c:v>1000</c:v>
                </c:pt>
                <c:pt idx="19">
                  <c:v>2000</c:v>
                </c:pt>
                <c:pt idx="20">
                  <c:v>3000</c:v>
                </c:pt>
                <c:pt idx="21">
                  <c:v>4000</c:v>
                </c:pt>
                <c:pt idx="22">
                  <c:v>5000</c:v>
                </c:pt>
                <c:pt idx="23">
                  <c:v>6000</c:v>
                </c:pt>
                <c:pt idx="24">
                  <c:v>7000</c:v>
                </c:pt>
                <c:pt idx="25">
                  <c:v>8000</c:v>
                </c:pt>
                <c:pt idx="26">
                  <c:v>9000</c:v>
                </c:pt>
                <c:pt idx="27">
                  <c:v>10000</c:v>
                </c:pt>
                <c:pt idx="28">
                  <c:v>20000</c:v>
                </c:pt>
                <c:pt idx="29">
                  <c:v>30000</c:v>
                </c:pt>
                <c:pt idx="30">
                  <c:v>40000</c:v>
                </c:pt>
                <c:pt idx="31">
                  <c:v>50000</c:v>
                </c:pt>
                <c:pt idx="32">
                  <c:v>60000</c:v>
                </c:pt>
                <c:pt idx="33">
                  <c:v>70000</c:v>
                </c:pt>
                <c:pt idx="34">
                  <c:v>80000</c:v>
                </c:pt>
                <c:pt idx="35">
                  <c:v>90000</c:v>
                </c:pt>
                <c:pt idx="36">
                  <c:v>100000</c:v>
                </c:pt>
              </c:numCache>
            </c:numRef>
          </c:xVal>
          <c:yVal>
            <c:numRef>
              <c:f>'Loop Stability Worksht'!$AV$4:$AV$40</c:f>
              <c:numCache>
                <c:formatCode>General</c:formatCode>
                <c:ptCount val="37"/>
                <c:pt idx="0">
                  <c:v>86.947323235160525</c:v>
                </c:pt>
                <c:pt idx="1">
                  <c:v>83.926732083197663</c:v>
                </c:pt>
                <c:pt idx="2">
                  <c:v>80.968676533705363</c:v>
                </c:pt>
                <c:pt idx="3">
                  <c:v>78.100536796347996</c:v>
                </c:pt>
                <c:pt idx="4">
                  <c:v>75.345547297774303</c:v>
                </c:pt>
                <c:pt idx="5">
                  <c:v>72.722161327196659</c:v>
                </c:pt>
                <c:pt idx="6">
                  <c:v>70.243858568248513</c:v>
                </c:pt>
                <c:pt idx="7">
                  <c:v>67.919332635283396</c:v>
                </c:pt>
                <c:pt idx="8">
                  <c:v>65.752957607065397</c:v>
                </c:pt>
                <c:pt idx="9">
                  <c:v>63.745422423676608</c:v>
                </c:pt>
                <c:pt idx="10">
                  <c:v>51.185732794766629</c:v>
                </c:pt>
                <c:pt idx="11">
                  <c:v>47.224569133018733</c:v>
                </c:pt>
                <c:pt idx="12">
                  <c:v>46.962580720798641</c:v>
                </c:pt>
                <c:pt idx="13">
                  <c:v>48.208334164300709</c:v>
                </c:pt>
                <c:pt idx="14">
                  <c:v>50.007350404484839</c:v>
                </c:pt>
                <c:pt idx="15">
                  <c:v>51.929029546982711</c:v>
                </c:pt>
                <c:pt idx="16">
                  <c:v>53.779083402734791</c:v>
                </c:pt>
                <c:pt idx="17">
                  <c:v>55.475450562371329</c:v>
                </c:pt>
                <c:pt idx="18">
                  <c:v>56.990554576504529</c:v>
                </c:pt>
                <c:pt idx="19">
                  <c:v>64.41259216977673</c:v>
                </c:pt>
                <c:pt idx="20">
                  <c:v>65.377760672069471</c:v>
                </c:pt>
                <c:pt idx="21">
                  <c:v>64.571027083525323</c:v>
                </c:pt>
                <c:pt idx="22">
                  <c:v>63.370990455270295</c:v>
                </c:pt>
                <c:pt idx="23">
                  <c:v>62.25007500932476</c:v>
                </c:pt>
                <c:pt idx="24">
                  <c:v>61.369062598668577</c:v>
                </c:pt>
                <c:pt idx="25">
                  <c:v>60.764152714501158</c:v>
                </c:pt>
                <c:pt idx="26">
                  <c:v>60.420104471310367</c:v>
                </c:pt>
                <c:pt idx="27">
                  <c:v>60.302351478050639</c:v>
                </c:pt>
                <c:pt idx="28">
                  <c:v>64.72289284504545</c:v>
                </c:pt>
                <c:pt idx="29">
                  <c:v>70.138047929079647</c:v>
                </c:pt>
                <c:pt idx="30">
                  <c:v>74.046085770762275</c:v>
                </c:pt>
                <c:pt idx="31">
                  <c:v>76.790660543805913</c:v>
                </c:pt>
                <c:pt idx="32">
                  <c:v>78.775828032651503</c:v>
                </c:pt>
                <c:pt idx="33">
                  <c:v>80.262823328879207</c:v>
                </c:pt>
                <c:pt idx="34">
                  <c:v>81.412108412434179</c:v>
                </c:pt>
                <c:pt idx="35">
                  <c:v>82.324238377312113</c:v>
                </c:pt>
                <c:pt idx="36">
                  <c:v>83.064391274059943</c:v>
                </c:pt>
              </c:numCache>
            </c:numRef>
          </c:yVal>
          <c:smooth val="1"/>
        </c:ser>
        <c:dLbls>
          <c:showLegendKey val="0"/>
          <c:showVal val="0"/>
          <c:showCatName val="0"/>
          <c:showSerName val="0"/>
          <c:showPercent val="0"/>
          <c:showBubbleSize val="0"/>
        </c:dLbls>
        <c:axId val="40496800"/>
        <c:axId val="40502288"/>
      </c:scatterChart>
      <c:valAx>
        <c:axId val="40499936"/>
        <c:scaling>
          <c:logBase val="10"/>
          <c:orientation val="minMax"/>
          <c:min val="10"/>
        </c:scaling>
        <c:delete val="0"/>
        <c:axPos val="b"/>
        <c:majorGridlines>
          <c:spPr>
            <a:ln w="12700" cap="flat" cmpd="sng" algn="ctr">
              <a:solidFill>
                <a:schemeClr val="tx1"/>
              </a:solidFill>
              <a:round/>
            </a:ln>
            <a:effectLst/>
          </c:spPr>
        </c:majorGridlines>
        <c:minorGridlines>
          <c:spPr>
            <a:ln w="9525" cap="flat" cmpd="sng" algn="ctr">
              <a:solidFill>
                <a:schemeClr val="bg1">
                  <a:lumMod val="75000"/>
                </a:schemeClr>
              </a:solidFill>
              <a:round/>
            </a:ln>
            <a:effectLst/>
          </c:spPr>
        </c:minorGridlines>
        <c:title>
          <c:tx>
            <c:rich>
              <a:bodyPr rot="0" spcFirstLastPara="1" vertOverflow="ellipsis" vert="horz" wrap="square" anchor="ctr" anchorCtr="1"/>
              <a:lstStyle/>
              <a:p>
                <a:pPr>
                  <a:defRPr sz="1400" b="1" i="0" u="none" strike="noStrike" kern="1200" baseline="0">
                    <a:solidFill>
                      <a:schemeClr val="tx1">
                        <a:lumMod val="65000"/>
                        <a:lumOff val="35000"/>
                      </a:schemeClr>
                    </a:solidFill>
                    <a:latin typeface="+mn-lt"/>
                    <a:ea typeface="+mn-ea"/>
                    <a:cs typeface="+mn-cs"/>
                  </a:defRPr>
                </a:pPr>
                <a:r>
                  <a:rPr lang="en-US"/>
                  <a:t>Frequency</a:t>
                </a:r>
              </a:p>
            </c:rich>
          </c:tx>
          <c:layout>
            <c:manualLayout>
              <c:xMode val="edge"/>
              <c:yMode val="edge"/>
              <c:x val="0.46396300626621489"/>
              <c:y val="0.93295846676480843"/>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low"/>
        <c:spPr>
          <a:noFill/>
          <a:ln w="12700" cap="flat" cmpd="sng" algn="ctr">
            <a:solidFill>
              <a:schemeClr val="tx1"/>
            </a:solidFill>
            <a:round/>
          </a:ln>
          <a:effectLst/>
        </c:spPr>
        <c:txPr>
          <a:bodyPr rot="-60000000" spcFirstLastPara="1" vertOverflow="ellipsis" vert="horz" wrap="square" anchor="ctr" anchorCtr="1"/>
          <a:lstStyle/>
          <a:p>
            <a:pPr>
              <a:defRPr sz="1400" b="1" i="0" u="none" strike="noStrike" kern="1200" baseline="0">
                <a:solidFill>
                  <a:schemeClr val="tx1">
                    <a:lumMod val="65000"/>
                    <a:lumOff val="35000"/>
                  </a:schemeClr>
                </a:solidFill>
                <a:latin typeface="+mn-lt"/>
                <a:ea typeface="+mn-ea"/>
                <a:cs typeface="+mn-cs"/>
              </a:defRPr>
            </a:pPr>
            <a:endParaRPr lang="en-US"/>
          </a:p>
        </c:txPr>
        <c:crossAx val="40503856"/>
        <c:crosses val="autoZero"/>
        <c:crossBetween val="midCat"/>
      </c:valAx>
      <c:valAx>
        <c:axId val="40503856"/>
        <c:scaling>
          <c:orientation val="minMax"/>
          <c:max val="80"/>
          <c:min val="-80"/>
        </c:scaling>
        <c:delete val="0"/>
        <c:axPos val="l"/>
        <c:majorGridlines>
          <c:spPr>
            <a:ln w="9525" cap="flat" cmpd="sng" algn="ctr">
              <a:solidFill>
                <a:schemeClr val="tx1"/>
              </a:solidFill>
              <a:round/>
            </a:ln>
            <a:effectLst/>
          </c:spPr>
        </c:majorGridlines>
        <c:title>
          <c:tx>
            <c:rich>
              <a:bodyPr rot="-5400000" spcFirstLastPara="1" vertOverflow="ellipsis" vert="horz" wrap="square" anchor="ctr" anchorCtr="1"/>
              <a:lstStyle/>
              <a:p>
                <a:pPr>
                  <a:defRPr sz="1400" b="1" i="0" u="none" strike="noStrike" kern="1200" baseline="0">
                    <a:solidFill>
                      <a:schemeClr val="tx1">
                        <a:lumMod val="65000"/>
                        <a:lumOff val="35000"/>
                      </a:schemeClr>
                    </a:solidFill>
                    <a:latin typeface="+mn-lt"/>
                    <a:ea typeface="+mn-ea"/>
                    <a:cs typeface="+mn-cs"/>
                  </a:defRPr>
                </a:pPr>
                <a:r>
                  <a:rPr lang="en-US"/>
                  <a:t>Gain dB</a:t>
                </a:r>
              </a:p>
            </c:rich>
          </c:tx>
          <c:overlay val="0"/>
          <c:spPr>
            <a:noFill/>
            <a:ln>
              <a:noFill/>
            </a:ln>
            <a:effectLst/>
          </c:spPr>
          <c:txPr>
            <a:bodyPr rot="-5400000" spcFirstLastPara="1" vertOverflow="ellipsis" vert="horz" wrap="square" anchor="ctr" anchorCtr="1"/>
            <a:lstStyle/>
            <a:p>
              <a:pPr>
                <a:defRPr sz="1400" b="1"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400" b="1" i="0" u="none" strike="noStrike" kern="1200" baseline="0">
                <a:solidFill>
                  <a:schemeClr val="tx1">
                    <a:lumMod val="65000"/>
                    <a:lumOff val="35000"/>
                  </a:schemeClr>
                </a:solidFill>
                <a:latin typeface="+mn-lt"/>
                <a:ea typeface="+mn-ea"/>
                <a:cs typeface="+mn-cs"/>
              </a:defRPr>
            </a:pPr>
            <a:endParaRPr lang="en-US"/>
          </a:p>
        </c:txPr>
        <c:crossAx val="40499936"/>
        <c:crosses val="autoZero"/>
        <c:crossBetween val="midCat"/>
      </c:valAx>
      <c:valAx>
        <c:axId val="40502288"/>
        <c:scaling>
          <c:orientation val="minMax"/>
          <c:max val="90"/>
          <c:min val="-90"/>
        </c:scaling>
        <c:delete val="0"/>
        <c:axPos val="r"/>
        <c:title>
          <c:tx>
            <c:rich>
              <a:bodyPr rot="-5400000" spcFirstLastPara="1" vertOverflow="ellipsis" vert="horz" wrap="square" anchor="ctr" anchorCtr="1"/>
              <a:lstStyle/>
              <a:p>
                <a:pPr>
                  <a:defRPr sz="1400" b="1" i="0" u="none" strike="noStrike" kern="1200" baseline="0">
                    <a:solidFill>
                      <a:schemeClr val="tx1">
                        <a:lumMod val="65000"/>
                        <a:lumOff val="35000"/>
                      </a:schemeClr>
                    </a:solidFill>
                    <a:latin typeface="+mn-lt"/>
                    <a:ea typeface="+mn-ea"/>
                    <a:cs typeface="+mn-cs"/>
                  </a:defRPr>
                </a:pPr>
                <a:r>
                  <a:rPr lang="en-US"/>
                  <a:t>Phase Margin in Degrees</a:t>
                </a:r>
              </a:p>
            </c:rich>
          </c:tx>
          <c:layout>
            <c:manualLayout>
              <c:xMode val="edge"/>
              <c:yMode val="edge"/>
              <c:x val="0.95894542547617567"/>
              <c:y val="0.36394612041560376"/>
            </c:manualLayout>
          </c:layout>
          <c:overlay val="0"/>
          <c:spPr>
            <a:noFill/>
            <a:ln>
              <a:noFill/>
            </a:ln>
            <a:effectLst/>
          </c:spPr>
          <c:txPr>
            <a:bodyPr rot="-5400000" spcFirstLastPara="1" vertOverflow="ellipsis" vert="horz" wrap="square" anchor="ctr" anchorCtr="1"/>
            <a:lstStyle/>
            <a:p>
              <a:pPr>
                <a:defRPr sz="1400" b="1"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out"/>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400" b="1" i="0" u="none" strike="noStrike" kern="1200" baseline="0">
                <a:solidFill>
                  <a:schemeClr val="tx1">
                    <a:lumMod val="65000"/>
                    <a:lumOff val="35000"/>
                  </a:schemeClr>
                </a:solidFill>
                <a:latin typeface="+mn-lt"/>
                <a:ea typeface="+mn-ea"/>
                <a:cs typeface="+mn-cs"/>
              </a:defRPr>
            </a:pPr>
            <a:endParaRPr lang="en-US"/>
          </a:p>
        </c:txPr>
        <c:crossAx val="40496800"/>
        <c:crosses val="max"/>
        <c:crossBetween val="midCat"/>
      </c:valAx>
      <c:valAx>
        <c:axId val="40496800"/>
        <c:scaling>
          <c:logBase val="10"/>
          <c:orientation val="minMax"/>
        </c:scaling>
        <c:delete val="1"/>
        <c:axPos val="b"/>
        <c:numFmt formatCode="General" sourceLinked="1"/>
        <c:majorTickMark val="out"/>
        <c:minorTickMark val="none"/>
        <c:tickLblPos val="nextTo"/>
        <c:crossAx val="40502288"/>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400" b="1" i="0" baseline="0"/>
      </a:pPr>
      <a:endParaRPr lang="en-US"/>
    </a:p>
  </c:txPr>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185763561928547"/>
          <c:y val="2.8297754074173505E-2"/>
          <c:w val="0.76660430926763168"/>
          <c:h val="0.80564316644138168"/>
        </c:manualLayout>
      </c:layout>
      <c:scatterChart>
        <c:scatterStyle val="smoothMarker"/>
        <c:varyColors val="0"/>
        <c:ser>
          <c:idx val="0"/>
          <c:order val="0"/>
          <c:tx>
            <c:strRef>
              <c:f>'Loop Stability Worksht'!$X$3</c:f>
              <c:strCache>
                <c:ptCount val="1"/>
                <c:pt idx="0">
                  <c:v>Plant Gain</c:v>
                </c:pt>
              </c:strCache>
            </c:strRef>
          </c:tx>
          <c:spPr>
            <a:ln w="25400" cap="rnd">
              <a:solidFill>
                <a:schemeClr val="accent1"/>
              </a:solidFill>
              <a:round/>
            </a:ln>
            <a:effectLst/>
          </c:spPr>
          <c:marker>
            <c:symbol val="none"/>
          </c:marker>
          <c:xVal>
            <c:numRef>
              <c:f>'Loop Stability Worksht'!$W$4:$W$40</c:f>
              <c:numCache>
                <c:formatCode>General</c:formatCode>
                <c:ptCount val="37"/>
                <c:pt idx="0">
                  <c:v>10</c:v>
                </c:pt>
                <c:pt idx="1">
                  <c:v>20</c:v>
                </c:pt>
                <c:pt idx="2">
                  <c:v>30</c:v>
                </c:pt>
                <c:pt idx="3">
                  <c:v>40</c:v>
                </c:pt>
                <c:pt idx="4">
                  <c:v>50</c:v>
                </c:pt>
                <c:pt idx="5">
                  <c:v>60</c:v>
                </c:pt>
                <c:pt idx="6">
                  <c:v>70</c:v>
                </c:pt>
                <c:pt idx="7">
                  <c:v>80</c:v>
                </c:pt>
                <c:pt idx="8">
                  <c:v>90</c:v>
                </c:pt>
                <c:pt idx="9">
                  <c:v>100</c:v>
                </c:pt>
                <c:pt idx="10">
                  <c:v>200</c:v>
                </c:pt>
                <c:pt idx="11">
                  <c:v>300</c:v>
                </c:pt>
                <c:pt idx="12">
                  <c:v>400</c:v>
                </c:pt>
                <c:pt idx="13">
                  <c:v>500</c:v>
                </c:pt>
                <c:pt idx="14">
                  <c:v>600</c:v>
                </c:pt>
                <c:pt idx="15">
                  <c:v>700</c:v>
                </c:pt>
                <c:pt idx="16">
                  <c:v>800</c:v>
                </c:pt>
                <c:pt idx="17">
                  <c:v>900</c:v>
                </c:pt>
                <c:pt idx="18">
                  <c:v>1000</c:v>
                </c:pt>
                <c:pt idx="19">
                  <c:v>2000</c:v>
                </c:pt>
                <c:pt idx="20">
                  <c:v>3000</c:v>
                </c:pt>
                <c:pt idx="21">
                  <c:v>4000</c:v>
                </c:pt>
                <c:pt idx="22">
                  <c:v>5000</c:v>
                </c:pt>
                <c:pt idx="23">
                  <c:v>6000</c:v>
                </c:pt>
                <c:pt idx="24">
                  <c:v>7000</c:v>
                </c:pt>
                <c:pt idx="25">
                  <c:v>8000</c:v>
                </c:pt>
                <c:pt idx="26">
                  <c:v>9000</c:v>
                </c:pt>
                <c:pt idx="27">
                  <c:v>10000</c:v>
                </c:pt>
                <c:pt idx="28">
                  <c:v>20000</c:v>
                </c:pt>
                <c:pt idx="29">
                  <c:v>30000</c:v>
                </c:pt>
                <c:pt idx="30">
                  <c:v>40000</c:v>
                </c:pt>
                <c:pt idx="31">
                  <c:v>50000</c:v>
                </c:pt>
                <c:pt idx="32">
                  <c:v>60000</c:v>
                </c:pt>
                <c:pt idx="33">
                  <c:v>70000</c:v>
                </c:pt>
                <c:pt idx="34">
                  <c:v>80000</c:v>
                </c:pt>
                <c:pt idx="35">
                  <c:v>90000</c:v>
                </c:pt>
                <c:pt idx="36">
                  <c:v>100000</c:v>
                </c:pt>
              </c:numCache>
            </c:numRef>
          </c:xVal>
          <c:yVal>
            <c:numRef>
              <c:f>'Loop Stability Worksht'!$X$4:$X$40</c:f>
              <c:numCache>
                <c:formatCode>0.00</c:formatCode>
                <c:ptCount val="37"/>
                <c:pt idx="0">
                  <c:v>17.179151058348573</c:v>
                </c:pt>
                <c:pt idx="1">
                  <c:v>17.123196223258073</c:v>
                </c:pt>
                <c:pt idx="2">
                  <c:v>17.031511210560403</c:v>
                </c:pt>
                <c:pt idx="3">
                  <c:v>16.906319911027662</c:v>
                </c:pt>
                <c:pt idx="4">
                  <c:v>16.750487695077972</c:v>
                </c:pt>
                <c:pt idx="5">
                  <c:v>16.567321140372847</c:v>
                </c:pt>
                <c:pt idx="6">
                  <c:v>16.360364726260791</c:v>
                </c:pt>
                <c:pt idx="7">
                  <c:v>16.133216284647101</c:v>
                </c:pt>
                <c:pt idx="8">
                  <c:v>15.889375387654557</c:v>
                </c:pt>
                <c:pt idx="9">
                  <c:v>15.632130850375077</c:v>
                </c:pt>
                <c:pt idx="10">
                  <c:v>12.826316855681064</c:v>
                </c:pt>
                <c:pt idx="11">
                  <c:v>10.290559485663003</c:v>
                </c:pt>
                <c:pt idx="12">
                  <c:v>8.1981691516684201</c:v>
                </c:pt>
                <c:pt idx="13">
                  <c:v>6.4624016745515434</c:v>
                </c:pt>
                <c:pt idx="14">
                  <c:v>4.9935211189557762</c:v>
                </c:pt>
                <c:pt idx="15">
                  <c:v>3.7260003354054385</c:v>
                </c:pt>
                <c:pt idx="16">
                  <c:v>2.6139125800002834</c:v>
                </c:pt>
                <c:pt idx="17">
                  <c:v>1.6246928428147478</c:v>
                </c:pt>
                <c:pt idx="18">
                  <c:v>0.7347092937806855</c:v>
                </c:pt>
                <c:pt idx="19">
                  <c:v>-5.1759230477493645</c:v>
                </c:pt>
                <c:pt idx="20">
                  <c:v>-8.6245578406842451</c:v>
                </c:pt>
                <c:pt idx="21">
                  <c:v>-11.036722934313438</c:v>
                </c:pt>
                <c:pt idx="22">
                  <c:v>-12.869771468394458</c:v>
                </c:pt>
                <c:pt idx="23">
                  <c:v>-14.329627312716317</c:v>
                </c:pt>
                <c:pt idx="24">
                  <c:v>-15.527319443827201</c:v>
                </c:pt>
                <c:pt idx="25">
                  <c:v>-16.530011467887498</c:v>
                </c:pt>
                <c:pt idx="26">
                  <c:v>-17.381751089329605</c:v>
                </c:pt>
                <c:pt idx="27">
                  <c:v>-18.113210632079809</c:v>
                </c:pt>
                <c:pt idx="28">
                  <c:v>-21.950091523611523</c:v>
                </c:pt>
                <c:pt idx="29">
                  <c:v>-23.274741722495712</c:v>
                </c:pt>
                <c:pt idx="30">
                  <c:v>-23.853816659807279</c:v>
                </c:pt>
                <c:pt idx="31">
                  <c:v>-24.150444031731833</c:v>
                </c:pt>
                <c:pt idx="32">
                  <c:v>-24.320492537261931</c:v>
                </c:pt>
                <c:pt idx="33">
                  <c:v>-24.426340176408225</c:v>
                </c:pt>
                <c:pt idx="34">
                  <c:v>-24.49644639643514</c:v>
                </c:pt>
                <c:pt idx="35">
                  <c:v>-24.545173453547513</c:v>
                </c:pt>
                <c:pt idx="36">
                  <c:v>-24.580366144533684</c:v>
                </c:pt>
              </c:numCache>
            </c:numRef>
          </c:yVal>
          <c:smooth val="1"/>
        </c:ser>
        <c:dLbls>
          <c:showLegendKey val="0"/>
          <c:showVal val="0"/>
          <c:showCatName val="0"/>
          <c:showSerName val="0"/>
          <c:showPercent val="0"/>
          <c:showBubbleSize val="0"/>
        </c:dLbls>
        <c:axId val="40498760"/>
        <c:axId val="40500720"/>
      </c:scatterChart>
      <c:scatterChart>
        <c:scatterStyle val="smoothMarker"/>
        <c:varyColors val="0"/>
        <c:ser>
          <c:idx val="1"/>
          <c:order val="1"/>
          <c:tx>
            <c:strRef>
              <c:f>'Loop Stability Worksht'!$Y$3</c:f>
              <c:strCache>
                <c:ptCount val="1"/>
                <c:pt idx="0">
                  <c:v>Plant Phase</c:v>
                </c:pt>
              </c:strCache>
            </c:strRef>
          </c:tx>
          <c:spPr>
            <a:ln w="25400" cap="rnd">
              <a:solidFill>
                <a:schemeClr val="accent2"/>
              </a:solidFill>
              <a:round/>
            </a:ln>
            <a:effectLst/>
          </c:spPr>
          <c:marker>
            <c:symbol val="none"/>
          </c:marker>
          <c:xVal>
            <c:numRef>
              <c:f>'Loop Stability Worksht'!$W$4:$W$40</c:f>
              <c:numCache>
                <c:formatCode>General</c:formatCode>
                <c:ptCount val="37"/>
                <c:pt idx="0">
                  <c:v>10</c:v>
                </c:pt>
                <c:pt idx="1">
                  <c:v>20</c:v>
                </c:pt>
                <c:pt idx="2">
                  <c:v>30</c:v>
                </c:pt>
                <c:pt idx="3">
                  <c:v>40</c:v>
                </c:pt>
                <c:pt idx="4">
                  <c:v>50</c:v>
                </c:pt>
                <c:pt idx="5">
                  <c:v>60</c:v>
                </c:pt>
                <c:pt idx="6">
                  <c:v>70</c:v>
                </c:pt>
                <c:pt idx="7">
                  <c:v>80</c:v>
                </c:pt>
                <c:pt idx="8">
                  <c:v>90</c:v>
                </c:pt>
                <c:pt idx="9">
                  <c:v>100</c:v>
                </c:pt>
                <c:pt idx="10">
                  <c:v>200</c:v>
                </c:pt>
                <c:pt idx="11">
                  <c:v>300</c:v>
                </c:pt>
                <c:pt idx="12">
                  <c:v>400</c:v>
                </c:pt>
                <c:pt idx="13">
                  <c:v>500</c:v>
                </c:pt>
                <c:pt idx="14">
                  <c:v>600</c:v>
                </c:pt>
                <c:pt idx="15">
                  <c:v>700</c:v>
                </c:pt>
                <c:pt idx="16">
                  <c:v>800</c:v>
                </c:pt>
                <c:pt idx="17">
                  <c:v>900</c:v>
                </c:pt>
                <c:pt idx="18">
                  <c:v>1000</c:v>
                </c:pt>
                <c:pt idx="19">
                  <c:v>2000</c:v>
                </c:pt>
                <c:pt idx="20">
                  <c:v>3000</c:v>
                </c:pt>
                <c:pt idx="21">
                  <c:v>4000</c:v>
                </c:pt>
                <c:pt idx="22">
                  <c:v>5000</c:v>
                </c:pt>
                <c:pt idx="23">
                  <c:v>6000</c:v>
                </c:pt>
                <c:pt idx="24">
                  <c:v>7000</c:v>
                </c:pt>
                <c:pt idx="25">
                  <c:v>8000</c:v>
                </c:pt>
                <c:pt idx="26">
                  <c:v>9000</c:v>
                </c:pt>
                <c:pt idx="27">
                  <c:v>10000</c:v>
                </c:pt>
                <c:pt idx="28">
                  <c:v>20000</c:v>
                </c:pt>
                <c:pt idx="29">
                  <c:v>30000</c:v>
                </c:pt>
                <c:pt idx="30">
                  <c:v>40000</c:v>
                </c:pt>
                <c:pt idx="31">
                  <c:v>50000</c:v>
                </c:pt>
                <c:pt idx="32">
                  <c:v>60000</c:v>
                </c:pt>
                <c:pt idx="33">
                  <c:v>70000</c:v>
                </c:pt>
                <c:pt idx="34">
                  <c:v>80000</c:v>
                </c:pt>
                <c:pt idx="35">
                  <c:v>90000</c:v>
                </c:pt>
                <c:pt idx="36">
                  <c:v>100000</c:v>
                </c:pt>
              </c:numCache>
            </c:numRef>
          </c:xVal>
          <c:yVal>
            <c:numRef>
              <c:f>'Loop Stability Worksht'!$Y$4:$Y$40</c:f>
              <c:numCache>
                <c:formatCode>0.00</c:formatCode>
                <c:ptCount val="37"/>
                <c:pt idx="0">
                  <c:v>-3.7395603307106189</c:v>
                </c:pt>
                <c:pt idx="1">
                  <c:v>-7.4467615800853038</c:v>
                </c:pt>
                <c:pt idx="2">
                  <c:v>-11.090880876656113</c:v>
                </c:pt>
                <c:pt idx="3">
                  <c:v>-14.644266298917133</c:v>
                </c:pt>
                <c:pt idx="4">
                  <c:v>-18.083413455611428</c:v>
                </c:pt>
                <c:pt idx="5">
                  <c:v>-21.389601408061328</c:v>
                </c:pt>
                <c:pt idx="6">
                  <c:v>-24.549085693977009</c:v>
                </c:pt>
                <c:pt idx="7">
                  <c:v>-27.55291133174558</c:v>
                </c:pt>
                <c:pt idx="8">
                  <c:v>-30.396446809564626</c:v>
                </c:pt>
                <c:pt idx="9">
                  <c:v>-33.078750191080815</c:v>
                </c:pt>
                <c:pt idx="10">
                  <c:v>-52.202941974364307</c:v>
                </c:pt>
                <c:pt idx="11">
                  <c:v>-62.258869928175358</c:v>
                </c:pt>
                <c:pt idx="12">
                  <c:v>-68.013510411985777</c:v>
                </c:pt>
                <c:pt idx="13">
                  <c:v>-71.604238668041646</c:v>
                </c:pt>
                <c:pt idx="14">
                  <c:v>-73.992138245819433</c:v>
                </c:pt>
                <c:pt idx="15">
                  <c:v>-75.652229681127565</c:v>
                </c:pt>
                <c:pt idx="16">
                  <c:v>-76.841566751868257</c:v>
                </c:pt>
                <c:pt idx="17">
                  <c:v>-77.710053293543695</c:v>
                </c:pt>
                <c:pt idx="18">
                  <c:v>-78.350551288514538</c:v>
                </c:pt>
                <c:pt idx="19">
                  <c:v>-79.637844965671448</c:v>
                </c:pt>
                <c:pt idx="20">
                  <c:v>-78.111102664426738</c:v>
                </c:pt>
                <c:pt idx="21">
                  <c:v>-75.912050569500735</c:v>
                </c:pt>
                <c:pt idx="22">
                  <c:v>-73.485584760069557</c:v>
                </c:pt>
                <c:pt idx="23">
                  <c:v>-70.987831950605084</c:v>
                </c:pt>
                <c:pt idx="24">
                  <c:v>-68.490587841910056</c:v>
                </c:pt>
                <c:pt idx="25">
                  <c:v>-66.032652890585425</c:v>
                </c:pt>
                <c:pt idx="26">
                  <c:v>-63.637038218044708</c:v>
                </c:pt>
                <c:pt idx="27">
                  <c:v>-61.317959803902127</c:v>
                </c:pt>
                <c:pt idx="28">
                  <c:v>-43.031044238969926</c:v>
                </c:pt>
                <c:pt idx="29">
                  <c:v>-31.998431230215271</c:v>
                </c:pt>
                <c:pt idx="30">
                  <c:v>-25.139616969575282</c:v>
                </c:pt>
                <c:pt idx="31">
                  <c:v>-20.589436113890077</c:v>
                </c:pt>
                <c:pt idx="32">
                  <c:v>-17.388680824615527</c:v>
                </c:pt>
                <c:pt idx="33">
                  <c:v>-15.028543834997867</c:v>
                </c:pt>
                <c:pt idx="34">
                  <c:v>-13.222114703881855</c:v>
                </c:pt>
                <c:pt idx="35">
                  <c:v>-11.79768402146957</c:v>
                </c:pt>
                <c:pt idx="36">
                  <c:v>-10.647023979146676</c:v>
                </c:pt>
              </c:numCache>
            </c:numRef>
          </c:yVal>
          <c:smooth val="1"/>
        </c:ser>
        <c:dLbls>
          <c:showLegendKey val="0"/>
          <c:showVal val="0"/>
          <c:showCatName val="0"/>
          <c:showSerName val="0"/>
          <c:showPercent val="0"/>
          <c:showBubbleSize val="0"/>
        </c:dLbls>
        <c:axId val="346707496"/>
        <c:axId val="346705928"/>
      </c:scatterChart>
      <c:valAx>
        <c:axId val="40498760"/>
        <c:scaling>
          <c:logBase val="10"/>
          <c:orientation val="minMax"/>
          <c:min val="10"/>
        </c:scaling>
        <c:delete val="0"/>
        <c:axPos val="b"/>
        <c:majorGridlines>
          <c:spPr>
            <a:ln w="12700" cap="flat" cmpd="sng" algn="ctr">
              <a:solidFill>
                <a:schemeClr val="tx1"/>
              </a:solidFill>
              <a:round/>
            </a:ln>
            <a:effectLst/>
          </c:spPr>
        </c:majorGridlines>
        <c:minorGridlines>
          <c:spPr>
            <a:ln w="9525" cap="flat" cmpd="sng" algn="ctr">
              <a:solidFill>
                <a:schemeClr val="bg1">
                  <a:lumMod val="65000"/>
                </a:schemeClr>
              </a:solidFill>
              <a:round/>
            </a:ln>
            <a:effectLst/>
          </c:spPr>
        </c:minorGridlines>
        <c:title>
          <c:tx>
            <c:rich>
              <a:bodyPr rot="0" spcFirstLastPara="1" vertOverflow="ellipsis" vert="horz" wrap="square" anchor="ctr" anchorCtr="1"/>
              <a:lstStyle/>
              <a:p>
                <a:pPr>
                  <a:defRPr sz="1400" b="1" i="0" u="none" strike="noStrike" kern="1200" baseline="0">
                    <a:solidFill>
                      <a:schemeClr val="tx1">
                        <a:lumMod val="65000"/>
                        <a:lumOff val="35000"/>
                      </a:schemeClr>
                    </a:solidFill>
                    <a:latin typeface="+mn-lt"/>
                    <a:ea typeface="+mn-ea"/>
                    <a:cs typeface="+mn-cs"/>
                  </a:defRPr>
                </a:pPr>
                <a:r>
                  <a:rPr lang="en-US"/>
                  <a:t>Frequency</a:t>
                </a:r>
              </a:p>
            </c:rich>
          </c:tx>
          <c:layout>
            <c:manualLayout>
              <c:xMode val="edge"/>
              <c:yMode val="edge"/>
              <c:x val="0.4485112059071541"/>
              <c:y val="0.90387932941852089"/>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low"/>
        <c:spPr>
          <a:noFill/>
          <a:ln w="12700" cap="flat" cmpd="sng" algn="ctr">
            <a:solidFill>
              <a:schemeClr val="tx1"/>
            </a:solidFill>
            <a:round/>
          </a:ln>
          <a:effectLst/>
        </c:spPr>
        <c:txPr>
          <a:bodyPr rot="-60000000" spcFirstLastPara="1" vertOverflow="ellipsis" vert="horz" wrap="square" anchor="ctr" anchorCtr="1"/>
          <a:lstStyle/>
          <a:p>
            <a:pPr>
              <a:defRPr sz="1400" b="1" i="0" u="none" strike="noStrike" kern="1200" baseline="0">
                <a:solidFill>
                  <a:schemeClr val="tx1">
                    <a:lumMod val="65000"/>
                    <a:lumOff val="35000"/>
                  </a:schemeClr>
                </a:solidFill>
                <a:latin typeface="+mn-lt"/>
                <a:ea typeface="+mn-ea"/>
                <a:cs typeface="+mn-cs"/>
              </a:defRPr>
            </a:pPr>
            <a:endParaRPr lang="en-US"/>
          </a:p>
        </c:txPr>
        <c:crossAx val="40500720"/>
        <c:crosses val="autoZero"/>
        <c:crossBetween val="midCat"/>
      </c:valAx>
      <c:valAx>
        <c:axId val="40500720"/>
        <c:scaling>
          <c:orientation val="minMax"/>
          <c:max val="30"/>
          <c:min val="-50"/>
        </c:scaling>
        <c:delete val="0"/>
        <c:axPos val="l"/>
        <c:majorGridlines>
          <c:spPr>
            <a:ln w="9525" cap="flat" cmpd="sng" algn="ctr">
              <a:solidFill>
                <a:schemeClr val="tx1"/>
              </a:solidFill>
              <a:round/>
            </a:ln>
            <a:effectLst/>
          </c:spPr>
        </c:majorGridlines>
        <c:minorGridlines>
          <c:spPr>
            <a:ln w="9525" cap="flat" cmpd="sng" algn="ctr">
              <a:solidFill>
                <a:schemeClr val="bg1">
                  <a:lumMod val="85000"/>
                </a:schemeClr>
              </a:solidFill>
              <a:round/>
            </a:ln>
            <a:effectLst/>
          </c:spPr>
        </c:minorGridlines>
        <c:title>
          <c:tx>
            <c:rich>
              <a:bodyPr rot="-5400000" spcFirstLastPara="1" vertOverflow="ellipsis" vert="horz" wrap="square" anchor="ctr" anchorCtr="1"/>
              <a:lstStyle/>
              <a:p>
                <a:pPr>
                  <a:defRPr sz="1400" b="1" i="0" u="none" strike="noStrike" kern="1200" baseline="0">
                    <a:solidFill>
                      <a:schemeClr val="tx1">
                        <a:lumMod val="65000"/>
                        <a:lumOff val="35000"/>
                      </a:schemeClr>
                    </a:solidFill>
                    <a:latin typeface="+mn-lt"/>
                    <a:ea typeface="+mn-ea"/>
                    <a:cs typeface="+mn-cs"/>
                  </a:defRPr>
                </a:pPr>
                <a:r>
                  <a:rPr lang="en-US"/>
                  <a:t>Gain in dB</a:t>
                </a:r>
              </a:p>
            </c:rich>
          </c:tx>
          <c:overlay val="0"/>
          <c:spPr>
            <a:noFill/>
            <a:ln>
              <a:noFill/>
            </a:ln>
            <a:effectLst/>
          </c:spPr>
          <c:txPr>
            <a:bodyPr rot="-5400000" spcFirstLastPara="1" vertOverflow="ellipsis" vert="horz" wrap="square" anchor="ctr" anchorCtr="1"/>
            <a:lstStyle/>
            <a:p>
              <a:pPr>
                <a:defRPr sz="1400" b="1"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w="15875" cap="flat" cmpd="sng" algn="ctr">
            <a:solidFill>
              <a:schemeClr val="tx1"/>
            </a:solidFill>
            <a:round/>
          </a:ln>
          <a:effectLst/>
        </c:spPr>
        <c:txPr>
          <a:bodyPr rot="-60000000" spcFirstLastPara="1" vertOverflow="ellipsis" vert="horz" wrap="square" anchor="ctr" anchorCtr="1"/>
          <a:lstStyle/>
          <a:p>
            <a:pPr>
              <a:defRPr sz="1400" b="1" i="0" u="none" strike="noStrike" kern="1200" baseline="0">
                <a:solidFill>
                  <a:schemeClr val="tx1">
                    <a:lumMod val="65000"/>
                    <a:lumOff val="35000"/>
                  </a:schemeClr>
                </a:solidFill>
                <a:latin typeface="+mn-lt"/>
                <a:ea typeface="+mn-ea"/>
                <a:cs typeface="+mn-cs"/>
              </a:defRPr>
            </a:pPr>
            <a:endParaRPr lang="en-US"/>
          </a:p>
        </c:txPr>
        <c:crossAx val="40498760"/>
        <c:crosses val="autoZero"/>
        <c:crossBetween val="midCat"/>
      </c:valAx>
      <c:valAx>
        <c:axId val="346705928"/>
        <c:scaling>
          <c:orientation val="minMax"/>
          <c:max val="100"/>
        </c:scaling>
        <c:delete val="0"/>
        <c:axPos val="r"/>
        <c:title>
          <c:tx>
            <c:rich>
              <a:bodyPr rot="-5400000" spcFirstLastPara="1" vertOverflow="ellipsis" vert="horz" wrap="square" anchor="ctr" anchorCtr="1"/>
              <a:lstStyle/>
              <a:p>
                <a:pPr>
                  <a:defRPr sz="1400" b="1" i="0" u="none" strike="noStrike" kern="1200" baseline="0">
                    <a:solidFill>
                      <a:schemeClr val="tx1">
                        <a:lumMod val="65000"/>
                        <a:lumOff val="35000"/>
                      </a:schemeClr>
                    </a:solidFill>
                    <a:latin typeface="+mn-lt"/>
                    <a:ea typeface="+mn-ea"/>
                    <a:cs typeface="+mn-cs"/>
                  </a:defRPr>
                </a:pPr>
                <a:r>
                  <a:rPr lang="en-US"/>
                  <a:t>Phase in Degrees</a:t>
                </a:r>
              </a:p>
            </c:rich>
          </c:tx>
          <c:overlay val="0"/>
          <c:spPr>
            <a:noFill/>
            <a:ln>
              <a:noFill/>
            </a:ln>
            <a:effectLst/>
          </c:spPr>
          <c:txPr>
            <a:bodyPr rot="-5400000" spcFirstLastPara="1" vertOverflow="ellipsis" vert="horz" wrap="square" anchor="ctr" anchorCtr="1"/>
            <a:lstStyle/>
            <a:p>
              <a:pPr>
                <a:defRPr sz="1400" b="1"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out"/>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400" b="1" i="0" u="none" strike="noStrike" kern="1200" baseline="0">
                <a:solidFill>
                  <a:schemeClr val="tx1">
                    <a:lumMod val="65000"/>
                    <a:lumOff val="35000"/>
                  </a:schemeClr>
                </a:solidFill>
                <a:latin typeface="+mn-lt"/>
                <a:ea typeface="+mn-ea"/>
                <a:cs typeface="+mn-cs"/>
              </a:defRPr>
            </a:pPr>
            <a:endParaRPr lang="en-US"/>
          </a:p>
        </c:txPr>
        <c:crossAx val="346707496"/>
        <c:crosses val="max"/>
        <c:crossBetween val="midCat"/>
      </c:valAx>
      <c:valAx>
        <c:axId val="346707496"/>
        <c:scaling>
          <c:logBase val="10"/>
          <c:orientation val="minMax"/>
        </c:scaling>
        <c:delete val="1"/>
        <c:axPos val="b"/>
        <c:numFmt formatCode="General" sourceLinked="1"/>
        <c:majorTickMark val="out"/>
        <c:minorTickMark val="none"/>
        <c:tickLblPos val="nextTo"/>
        <c:crossAx val="346705928"/>
        <c:crosses val="autoZero"/>
        <c:crossBetween val="midCat"/>
      </c:valAx>
      <c:spPr>
        <a:noFill/>
        <a:ln>
          <a:solidFill>
            <a:schemeClr val="tx1"/>
          </a:solidFill>
        </a:ln>
        <a:effectLst/>
      </c:spPr>
    </c:plotArea>
    <c:legend>
      <c:legendPos val="b"/>
      <c:layout>
        <c:manualLayout>
          <c:xMode val="edge"/>
          <c:yMode val="edge"/>
          <c:x val="0.4678286421682627"/>
          <c:y val="0.15405456489865132"/>
          <c:w val="0.28810300111590131"/>
          <c:h val="4.7881686399473065E-2"/>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400" b="1" i="0" baseline="0"/>
      </a:pPr>
      <a:endParaRPr lang="en-US"/>
    </a:p>
  </c:txPr>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185763561928547"/>
          <c:y val="2.8297754074173505E-2"/>
          <c:w val="0.76660430926763168"/>
          <c:h val="0.8077323385584021"/>
        </c:manualLayout>
      </c:layout>
      <c:scatterChart>
        <c:scatterStyle val="smoothMarker"/>
        <c:varyColors val="0"/>
        <c:ser>
          <c:idx val="0"/>
          <c:order val="0"/>
          <c:tx>
            <c:strRef>
              <c:f>'Loop Stability Worksht'!$AN$3</c:f>
              <c:strCache>
                <c:ptCount val="1"/>
                <c:pt idx="0">
                  <c:v>Gain</c:v>
                </c:pt>
              </c:strCache>
            </c:strRef>
          </c:tx>
          <c:spPr>
            <a:ln w="22225" cap="rnd">
              <a:solidFill>
                <a:schemeClr val="accent1"/>
              </a:solidFill>
              <a:round/>
            </a:ln>
            <a:effectLst/>
          </c:spPr>
          <c:marker>
            <c:symbol val="none"/>
          </c:marker>
          <c:xVal>
            <c:numRef>
              <c:f>'Loop Stability Worksht'!$AM$4:$AM$40</c:f>
              <c:numCache>
                <c:formatCode>0.00</c:formatCode>
                <c:ptCount val="37"/>
                <c:pt idx="0">
                  <c:v>10</c:v>
                </c:pt>
                <c:pt idx="1">
                  <c:v>20</c:v>
                </c:pt>
                <c:pt idx="2">
                  <c:v>30</c:v>
                </c:pt>
                <c:pt idx="3">
                  <c:v>40</c:v>
                </c:pt>
                <c:pt idx="4">
                  <c:v>50</c:v>
                </c:pt>
                <c:pt idx="5">
                  <c:v>60</c:v>
                </c:pt>
                <c:pt idx="6">
                  <c:v>70</c:v>
                </c:pt>
                <c:pt idx="7">
                  <c:v>80</c:v>
                </c:pt>
                <c:pt idx="8">
                  <c:v>90</c:v>
                </c:pt>
                <c:pt idx="9">
                  <c:v>100</c:v>
                </c:pt>
                <c:pt idx="10">
                  <c:v>200</c:v>
                </c:pt>
                <c:pt idx="11">
                  <c:v>300</c:v>
                </c:pt>
                <c:pt idx="12">
                  <c:v>400</c:v>
                </c:pt>
                <c:pt idx="13">
                  <c:v>500</c:v>
                </c:pt>
                <c:pt idx="14">
                  <c:v>600</c:v>
                </c:pt>
                <c:pt idx="15">
                  <c:v>700</c:v>
                </c:pt>
                <c:pt idx="16">
                  <c:v>800</c:v>
                </c:pt>
                <c:pt idx="17">
                  <c:v>900</c:v>
                </c:pt>
                <c:pt idx="18">
                  <c:v>1000</c:v>
                </c:pt>
                <c:pt idx="19">
                  <c:v>2000</c:v>
                </c:pt>
                <c:pt idx="20">
                  <c:v>3000</c:v>
                </c:pt>
                <c:pt idx="21">
                  <c:v>4000</c:v>
                </c:pt>
                <c:pt idx="22">
                  <c:v>5000</c:v>
                </c:pt>
                <c:pt idx="23">
                  <c:v>6000</c:v>
                </c:pt>
                <c:pt idx="24">
                  <c:v>7000</c:v>
                </c:pt>
                <c:pt idx="25">
                  <c:v>8000</c:v>
                </c:pt>
                <c:pt idx="26">
                  <c:v>9000</c:v>
                </c:pt>
                <c:pt idx="27">
                  <c:v>10000</c:v>
                </c:pt>
                <c:pt idx="28">
                  <c:v>20000</c:v>
                </c:pt>
                <c:pt idx="29">
                  <c:v>30000</c:v>
                </c:pt>
                <c:pt idx="30">
                  <c:v>40000</c:v>
                </c:pt>
                <c:pt idx="31">
                  <c:v>50000</c:v>
                </c:pt>
                <c:pt idx="32">
                  <c:v>60000</c:v>
                </c:pt>
                <c:pt idx="33">
                  <c:v>70000</c:v>
                </c:pt>
                <c:pt idx="34">
                  <c:v>80000</c:v>
                </c:pt>
                <c:pt idx="35">
                  <c:v>90000</c:v>
                </c:pt>
                <c:pt idx="36">
                  <c:v>100000</c:v>
                </c:pt>
              </c:numCache>
            </c:numRef>
          </c:xVal>
          <c:yVal>
            <c:numRef>
              <c:f>'Loop Stability Worksht'!$AN$4:$AN$40</c:f>
              <c:numCache>
                <c:formatCode>0.00</c:formatCode>
                <c:ptCount val="37"/>
                <c:pt idx="0">
                  <c:v>55.913050692577912</c:v>
                </c:pt>
                <c:pt idx="1">
                  <c:v>49.894754124871127</c:v>
                </c:pt>
                <c:pt idx="2">
                  <c:v>46.376765081874879</c:v>
                </c:pt>
                <c:pt idx="3">
                  <c:v>43.883355133995032</c:v>
                </c:pt>
                <c:pt idx="4">
                  <c:v>41.952042520044543</c:v>
                </c:pt>
                <c:pt idx="5">
                  <c:v>40.376820705609695</c:v>
                </c:pt>
                <c:pt idx="6">
                  <c:v>39.047794486921873</c:v>
                </c:pt>
                <c:pt idx="7">
                  <c:v>37.899361036007797</c:v>
                </c:pt>
                <c:pt idx="8">
                  <c:v>36.889199914597086</c:v>
                </c:pt>
                <c:pt idx="9">
                  <c:v>35.988409712444863</c:v>
                </c:pt>
                <c:pt idx="10">
                  <c:v>30.188333529128101</c:v>
                </c:pt>
                <c:pt idx="11">
                  <c:v>27.010348497422626</c:v>
                </c:pt>
                <c:pt idx="12">
                  <c:v>24.950394764113998</c:v>
                </c:pt>
                <c:pt idx="13">
                  <c:v>23.516719926081361</c:v>
                </c:pt>
                <c:pt idx="14">
                  <c:v>22.477470261401145</c:v>
                </c:pt>
                <c:pt idx="15">
                  <c:v>21.702235882557446</c:v>
                </c:pt>
                <c:pt idx="16">
                  <c:v>21.110347683761294</c:v>
                </c:pt>
                <c:pt idx="17">
                  <c:v>20.649079720071228</c:v>
                </c:pt>
                <c:pt idx="18">
                  <c:v>20.282736095748675</c:v>
                </c:pt>
                <c:pt idx="19">
                  <c:v>18.684298295009764</c:v>
                </c:pt>
                <c:pt idx="20">
                  <c:v>18.008772127846541</c:v>
                </c:pt>
                <c:pt idx="21">
                  <c:v>17.427199471192022</c:v>
                </c:pt>
                <c:pt idx="22">
                  <c:v>16.837145240611729</c:v>
                </c:pt>
                <c:pt idx="23">
                  <c:v>16.230827370104809</c:v>
                </c:pt>
                <c:pt idx="24">
                  <c:v>15.61724613377941</c:v>
                </c:pt>
                <c:pt idx="25">
                  <c:v>15.006539966927779</c:v>
                </c:pt>
                <c:pt idx="26">
                  <c:v>14.406561933436794</c:v>
                </c:pt>
                <c:pt idx="27">
                  <c:v>13.822569225819519</c:v>
                </c:pt>
                <c:pt idx="28">
                  <c:v>9.0788578530733695</c:v>
                </c:pt>
                <c:pt idx="29">
                  <c:v>5.8424716187285135</c:v>
                </c:pt>
                <c:pt idx="30">
                  <c:v>3.4483149989408868</c:v>
                </c:pt>
                <c:pt idx="31">
                  <c:v>1.5594242928698387</c:v>
                </c:pt>
                <c:pt idx="32">
                  <c:v>2.8266015584744418E-3</c:v>
                </c:pt>
                <c:pt idx="33">
                  <c:v>-1.3197291676077931</c:v>
                </c:pt>
                <c:pt idx="34">
                  <c:v>-2.4689029593697072</c:v>
                </c:pt>
                <c:pt idx="35">
                  <c:v>-3.4846259243857922</c:v>
                </c:pt>
                <c:pt idx="36">
                  <c:v>-4.3945266694665612</c:v>
                </c:pt>
              </c:numCache>
            </c:numRef>
          </c:yVal>
          <c:smooth val="1"/>
        </c:ser>
        <c:dLbls>
          <c:showLegendKey val="0"/>
          <c:showVal val="0"/>
          <c:showCatName val="0"/>
          <c:showSerName val="0"/>
          <c:showPercent val="0"/>
          <c:showBubbleSize val="0"/>
        </c:dLbls>
        <c:axId val="346707888"/>
        <c:axId val="382720816"/>
      </c:scatterChart>
      <c:scatterChart>
        <c:scatterStyle val="smoothMarker"/>
        <c:varyColors val="0"/>
        <c:ser>
          <c:idx val="1"/>
          <c:order val="1"/>
          <c:tx>
            <c:strRef>
              <c:f>'Loop Stability Worksht'!$AO$3</c:f>
              <c:strCache>
                <c:ptCount val="1"/>
                <c:pt idx="0">
                  <c:v>Phase</c:v>
                </c:pt>
              </c:strCache>
            </c:strRef>
          </c:tx>
          <c:spPr>
            <a:ln w="25400" cap="rnd">
              <a:solidFill>
                <a:schemeClr val="accent2"/>
              </a:solidFill>
              <a:round/>
            </a:ln>
            <a:effectLst/>
          </c:spPr>
          <c:marker>
            <c:symbol val="none"/>
          </c:marker>
          <c:xVal>
            <c:numRef>
              <c:f>'Loop Stability Worksht'!$AM$4:$AM$40</c:f>
              <c:numCache>
                <c:formatCode>0.00</c:formatCode>
                <c:ptCount val="37"/>
                <c:pt idx="0">
                  <c:v>10</c:v>
                </c:pt>
                <c:pt idx="1">
                  <c:v>20</c:v>
                </c:pt>
                <c:pt idx="2">
                  <c:v>30</c:v>
                </c:pt>
                <c:pt idx="3">
                  <c:v>40</c:v>
                </c:pt>
                <c:pt idx="4">
                  <c:v>50</c:v>
                </c:pt>
                <c:pt idx="5">
                  <c:v>60</c:v>
                </c:pt>
                <c:pt idx="6">
                  <c:v>70</c:v>
                </c:pt>
                <c:pt idx="7">
                  <c:v>80</c:v>
                </c:pt>
                <c:pt idx="8">
                  <c:v>90</c:v>
                </c:pt>
                <c:pt idx="9">
                  <c:v>100</c:v>
                </c:pt>
                <c:pt idx="10">
                  <c:v>200</c:v>
                </c:pt>
                <c:pt idx="11">
                  <c:v>300</c:v>
                </c:pt>
                <c:pt idx="12">
                  <c:v>400</c:v>
                </c:pt>
                <c:pt idx="13">
                  <c:v>500</c:v>
                </c:pt>
                <c:pt idx="14">
                  <c:v>600</c:v>
                </c:pt>
                <c:pt idx="15">
                  <c:v>700</c:v>
                </c:pt>
                <c:pt idx="16">
                  <c:v>800</c:v>
                </c:pt>
                <c:pt idx="17">
                  <c:v>900</c:v>
                </c:pt>
                <c:pt idx="18">
                  <c:v>1000</c:v>
                </c:pt>
                <c:pt idx="19">
                  <c:v>2000</c:v>
                </c:pt>
                <c:pt idx="20">
                  <c:v>3000</c:v>
                </c:pt>
                <c:pt idx="21">
                  <c:v>4000</c:v>
                </c:pt>
                <c:pt idx="22">
                  <c:v>5000</c:v>
                </c:pt>
                <c:pt idx="23">
                  <c:v>6000</c:v>
                </c:pt>
                <c:pt idx="24">
                  <c:v>7000</c:v>
                </c:pt>
                <c:pt idx="25">
                  <c:v>8000</c:v>
                </c:pt>
                <c:pt idx="26">
                  <c:v>9000</c:v>
                </c:pt>
                <c:pt idx="27">
                  <c:v>10000</c:v>
                </c:pt>
                <c:pt idx="28">
                  <c:v>20000</c:v>
                </c:pt>
                <c:pt idx="29">
                  <c:v>30000</c:v>
                </c:pt>
                <c:pt idx="30">
                  <c:v>40000</c:v>
                </c:pt>
                <c:pt idx="31">
                  <c:v>50000</c:v>
                </c:pt>
                <c:pt idx="32">
                  <c:v>60000</c:v>
                </c:pt>
                <c:pt idx="33">
                  <c:v>70000</c:v>
                </c:pt>
                <c:pt idx="34">
                  <c:v>80000</c:v>
                </c:pt>
                <c:pt idx="35">
                  <c:v>90000</c:v>
                </c:pt>
                <c:pt idx="36">
                  <c:v>100000</c:v>
                </c:pt>
              </c:numCache>
            </c:numRef>
          </c:xVal>
          <c:yVal>
            <c:numRef>
              <c:f>'Loop Stability Worksht'!$AO$4:$AO$40</c:f>
              <c:numCache>
                <c:formatCode>0.00</c:formatCode>
                <c:ptCount val="37"/>
                <c:pt idx="0">
                  <c:v>-89.313116434128858</c:v>
                </c:pt>
                <c:pt idx="1">
                  <c:v>-88.626506336717071</c:v>
                </c:pt>
                <c:pt idx="2">
                  <c:v>-87.940442589638536</c:v>
                </c:pt>
                <c:pt idx="3">
                  <c:v>-87.255196904734845</c:v>
                </c:pt>
                <c:pt idx="4">
                  <c:v>-86.571039246614291</c:v>
                </c:pt>
                <c:pt idx="5">
                  <c:v>-85.888237264742003</c:v>
                </c:pt>
                <c:pt idx="6">
                  <c:v>-85.207055737774425</c:v>
                </c:pt>
                <c:pt idx="7">
                  <c:v>-84.527756032971027</c:v>
                </c:pt>
                <c:pt idx="8">
                  <c:v>-83.85059558336998</c:v>
                </c:pt>
                <c:pt idx="9">
                  <c:v>-83.175827385242613</c:v>
                </c:pt>
                <c:pt idx="10">
                  <c:v>-76.611325230869085</c:v>
                </c:pt>
                <c:pt idx="11">
                  <c:v>-70.516560938805924</c:v>
                </c:pt>
                <c:pt idx="12">
                  <c:v>-65.023908867215582</c:v>
                </c:pt>
                <c:pt idx="13">
                  <c:v>-60.187427167657688</c:v>
                </c:pt>
                <c:pt idx="14">
                  <c:v>-56.000511349695621</c:v>
                </c:pt>
                <c:pt idx="15">
                  <c:v>-52.418740771889865</c:v>
                </c:pt>
                <c:pt idx="16">
                  <c:v>-49.379349845397009</c:v>
                </c:pt>
                <c:pt idx="17">
                  <c:v>-46.814496144084885</c:v>
                </c:pt>
                <c:pt idx="18">
                  <c:v>-44.658894134980947</c:v>
                </c:pt>
                <c:pt idx="19">
                  <c:v>-35.949562864551815</c:v>
                </c:pt>
                <c:pt idx="20">
                  <c:v>-36.511136663503876</c:v>
                </c:pt>
                <c:pt idx="21">
                  <c:v>-39.516922346974013</c:v>
                </c:pt>
                <c:pt idx="22">
                  <c:v>-43.143424784660155</c:v>
                </c:pt>
                <c:pt idx="23">
                  <c:v>-46.762093040070162</c:v>
                </c:pt>
                <c:pt idx="24">
                  <c:v>-50.140349559421388</c:v>
                </c:pt>
                <c:pt idx="25">
                  <c:v>-53.203194394913446</c:v>
                </c:pt>
                <c:pt idx="26">
                  <c:v>-55.942857310644897</c:v>
                </c:pt>
                <c:pt idx="27">
                  <c:v>-58.379688718047262</c:v>
                </c:pt>
                <c:pt idx="28">
                  <c:v>-72.246062915984638</c:v>
                </c:pt>
                <c:pt idx="29">
                  <c:v>-77.863520840705092</c:v>
                </c:pt>
                <c:pt idx="30">
                  <c:v>-80.814297259662453</c:v>
                </c:pt>
                <c:pt idx="31">
                  <c:v>-82.619903342303985</c:v>
                </c:pt>
                <c:pt idx="32">
                  <c:v>-83.835491142732991</c:v>
                </c:pt>
                <c:pt idx="33">
                  <c:v>-84.708632836122945</c:v>
                </c:pt>
                <c:pt idx="34">
                  <c:v>-85.365776883683964</c:v>
                </c:pt>
                <c:pt idx="35">
                  <c:v>-85.878077601218322</c:v>
                </c:pt>
                <c:pt idx="36">
                  <c:v>-86.288584746793376</c:v>
                </c:pt>
              </c:numCache>
            </c:numRef>
          </c:yVal>
          <c:smooth val="1"/>
        </c:ser>
        <c:dLbls>
          <c:showLegendKey val="0"/>
          <c:showVal val="0"/>
          <c:showCatName val="0"/>
          <c:showSerName val="0"/>
          <c:showPercent val="0"/>
          <c:showBubbleSize val="0"/>
        </c:dLbls>
        <c:axId val="382722776"/>
        <c:axId val="382722384"/>
      </c:scatterChart>
      <c:valAx>
        <c:axId val="346707888"/>
        <c:scaling>
          <c:logBase val="10"/>
          <c:orientation val="minMax"/>
          <c:max val="100000"/>
          <c:min val="10"/>
        </c:scaling>
        <c:delete val="0"/>
        <c:axPos val="b"/>
        <c:majorGridlines>
          <c:spPr>
            <a:ln w="9525" cap="flat" cmpd="sng" algn="ctr">
              <a:solidFill>
                <a:schemeClr val="tx1"/>
              </a:solidFill>
              <a:round/>
            </a:ln>
            <a:effectLst/>
          </c:spPr>
        </c:majorGridlines>
        <c:minorGridlines>
          <c:spPr>
            <a:ln w="9525" cap="flat" cmpd="sng" algn="ctr">
              <a:solidFill>
                <a:schemeClr val="bg1">
                  <a:lumMod val="75000"/>
                </a:schemeClr>
              </a:solidFill>
              <a:round/>
            </a:ln>
            <a:effectLst/>
          </c:spPr>
        </c:minorGridlines>
        <c:title>
          <c:tx>
            <c:rich>
              <a:bodyPr rot="0" spcFirstLastPara="1" vertOverflow="ellipsis" vert="horz" wrap="square" anchor="ctr" anchorCtr="1"/>
              <a:lstStyle/>
              <a:p>
                <a:pPr>
                  <a:defRPr sz="1400" b="1" i="0" u="none" strike="noStrike" kern="1200" baseline="0">
                    <a:solidFill>
                      <a:schemeClr val="tx1">
                        <a:lumMod val="65000"/>
                        <a:lumOff val="35000"/>
                      </a:schemeClr>
                    </a:solidFill>
                    <a:latin typeface="+mn-lt"/>
                    <a:ea typeface="+mn-ea"/>
                    <a:cs typeface="+mn-cs"/>
                  </a:defRPr>
                </a:pPr>
                <a:r>
                  <a:rPr lang="en-US"/>
                  <a:t>Frequency</a:t>
                </a:r>
              </a:p>
            </c:rich>
          </c:tx>
          <c:layout>
            <c:manualLayout>
              <c:xMode val="edge"/>
              <c:yMode val="edge"/>
              <c:x val="0.45123999118623842"/>
              <c:y val="0.90387932941852089"/>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low"/>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400" b="1" i="0" u="none" strike="noStrike" kern="1200" baseline="0">
                <a:solidFill>
                  <a:schemeClr val="tx1">
                    <a:lumMod val="65000"/>
                    <a:lumOff val="35000"/>
                  </a:schemeClr>
                </a:solidFill>
                <a:latin typeface="+mn-lt"/>
                <a:ea typeface="+mn-ea"/>
                <a:cs typeface="+mn-cs"/>
              </a:defRPr>
            </a:pPr>
            <a:endParaRPr lang="en-US"/>
          </a:p>
        </c:txPr>
        <c:crossAx val="382720816"/>
        <c:crosses val="autoZero"/>
        <c:crossBetween val="midCat"/>
      </c:valAx>
      <c:valAx>
        <c:axId val="382720816"/>
        <c:scaling>
          <c:orientation val="minMax"/>
        </c:scaling>
        <c:delete val="0"/>
        <c:axPos val="l"/>
        <c:majorGridlines>
          <c:spPr>
            <a:ln w="9525" cap="flat" cmpd="sng" algn="ctr">
              <a:solidFill>
                <a:schemeClr val="tx1"/>
              </a:solidFill>
              <a:round/>
            </a:ln>
            <a:effectLst/>
          </c:spPr>
        </c:majorGridlines>
        <c:title>
          <c:tx>
            <c:rich>
              <a:bodyPr rot="-5400000" spcFirstLastPara="1" vertOverflow="ellipsis" vert="horz" wrap="square" anchor="ctr" anchorCtr="1"/>
              <a:lstStyle/>
              <a:p>
                <a:pPr>
                  <a:defRPr sz="1400" b="1" i="0" u="none" strike="noStrike" kern="1200" baseline="0">
                    <a:solidFill>
                      <a:schemeClr val="tx1">
                        <a:lumMod val="65000"/>
                        <a:lumOff val="35000"/>
                      </a:schemeClr>
                    </a:solidFill>
                    <a:latin typeface="+mn-lt"/>
                    <a:ea typeface="+mn-ea"/>
                    <a:cs typeface="+mn-cs"/>
                  </a:defRPr>
                </a:pPr>
                <a:r>
                  <a:rPr lang="en-US"/>
                  <a:t>Compensator Gain in dB</a:t>
                </a:r>
              </a:p>
            </c:rich>
          </c:tx>
          <c:overlay val="0"/>
          <c:spPr>
            <a:noFill/>
            <a:ln>
              <a:noFill/>
            </a:ln>
            <a:effectLst/>
          </c:spPr>
          <c:txPr>
            <a:bodyPr rot="-5400000" spcFirstLastPara="1" vertOverflow="ellipsis" vert="horz" wrap="square" anchor="ctr" anchorCtr="1"/>
            <a:lstStyle/>
            <a:p>
              <a:pPr>
                <a:defRPr sz="1400" b="1"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400" b="1" i="0" u="none" strike="noStrike" kern="1200" baseline="0">
                <a:solidFill>
                  <a:schemeClr val="tx1">
                    <a:lumMod val="65000"/>
                    <a:lumOff val="35000"/>
                  </a:schemeClr>
                </a:solidFill>
                <a:latin typeface="+mn-lt"/>
                <a:ea typeface="+mn-ea"/>
                <a:cs typeface="+mn-cs"/>
              </a:defRPr>
            </a:pPr>
            <a:endParaRPr lang="en-US"/>
          </a:p>
        </c:txPr>
        <c:crossAx val="346707888"/>
        <c:crosses val="autoZero"/>
        <c:crossBetween val="midCat"/>
      </c:valAx>
      <c:valAx>
        <c:axId val="382722384"/>
        <c:scaling>
          <c:orientation val="minMax"/>
        </c:scaling>
        <c:delete val="0"/>
        <c:axPos val="r"/>
        <c:title>
          <c:tx>
            <c:rich>
              <a:bodyPr rot="-5400000" spcFirstLastPara="1" vertOverflow="ellipsis" vert="horz" wrap="square" anchor="ctr" anchorCtr="1"/>
              <a:lstStyle/>
              <a:p>
                <a:pPr>
                  <a:defRPr sz="1400" b="1" i="0" u="none" strike="noStrike" kern="1200" baseline="0">
                    <a:solidFill>
                      <a:schemeClr val="tx1">
                        <a:lumMod val="65000"/>
                        <a:lumOff val="35000"/>
                      </a:schemeClr>
                    </a:solidFill>
                    <a:latin typeface="+mn-lt"/>
                    <a:ea typeface="+mn-ea"/>
                    <a:cs typeface="+mn-cs"/>
                  </a:defRPr>
                </a:pPr>
                <a:r>
                  <a:rPr lang="en-US"/>
                  <a:t>Compensator Phase in Degrees</a:t>
                </a:r>
              </a:p>
            </c:rich>
          </c:tx>
          <c:overlay val="0"/>
          <c:spPr>
            <a:noFill/>
            <a:ln>
              <a:noFill/>
            </a:ln>
            <a:effectLst/>
          </c:spPr>
          <c:txPr>
            <a:bodyPr rot="-5400000" spcFirstLastPara="1" vertOverflow="ellipsis" vert="horz" wrap="square" anchor="ctr" anchorCtr="1"/>
            <a:lstStyle/>
            <a:p>
              <a:pPr>
                <a:defRPr sz="1400" b="1"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out"/>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400" b="1" i="0" u="none" strike="noStrike" kern="1200" baseline="0">
                <a:solidFill>
                  <a:schemeClr val="tx1">
                    <a:lumMod val="65000"/>
                    <a:lumOff val="35000"/>
                  </a:schemeClr>
                </a:solidFill>
                <a:latin typeface="+mn-lt"/>
                <a:ea typeface="+mn-ea"/>
                <a:cs typeface="+mn-cs"/>
              </a:defRPr>
            </a:pPr>
            <a:endParaRPr lang="en-US"/>
          </a:p>
        </c:txPr>
        <c:crossAx val="382722776"/>
        <c:crosses val="max"/>
        <c:crossBetween val="midCat"/>
      </c:valAx>
      <c:valAx>
        <c:axId val="382722776"/>
        <c:scaling>
          <c:logBase val="10"/>
          <c:orientation val="minMax"/>
        </c:scaling>
        <c:delete val="1"/>
        <c:axPos val="b"/>
        <c:numFmt formatCode="0.00" sourceLinked="1"/>
        <c:majorTickMark val="out"/>
        <c:minorTickMark val="none"/>
        <c:tickLblPos val="nextTo"/>
        <c:crossAx val="382722384"/>
        <c:crosses val="autoZero"/>
        <c:crossBetween val="midCat"/>
      </c:valAx>
      <c:spPr>
        <a:noFill/>
        <a:ln>
          <a:noFill/>
        </a:ln>
        <a:effectLst/>
      </c:spPr>
    </c:plotArea>
    <c:legend>
      <c:legendPos val="b"/>
      <c:layout>
        <c:manualLayout>
          <c:xMode val="edge"/>
          <c:yMode val="edge"/>
          <c:x val="0.55788156448780313"/>
          <c:y val="8.3022712919950323E-2"/>
          <c:w val="0.17894568116550502"/>
          <c:h val="4.7881686399473065E-2"/>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400" b="1" i="0" baseline="0"/>
      </a:pPr>
      <a:endParaRPr lang="en-US"/>
    </a:p>
  </c:txPr>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smoothMarker"/>
        <c:varyColors val="0"/>
        <c:ser>
          <c:idx val="0"/>
          <c:order val="0"/>
          <c:tx>
            <c:strRef>
              <c:f>'Loop Stability Worksht'!$AE$3</c:f>
              <c:strCache>
                <c:ptCount val="1"/>
                <c:pt idx="0">
                  <c:v>TL431 Gain</c:v>
                </c:pt>
              </c:strCache>
            </c:strRef>
          </c:tx>
          <c:spPr>
            <a:ln w="19050" cap="rnd">
              <a:solidFill>
                <a:schemeClr val="accent1"/>
              </a:solidFill>
              <a:round/>
            </a:ln>
            <a:effectLst/>
          </c:spPr>
          <c:marker>
            <c:symbol val="circle"/>
            <c:size val="5"/>
            <c:spPr>
              <a:solidFill>
                <a:schemeClr val="accent1"/>
              </a:solidFill>
              <a:ln w="9525">
                <a:solidFill>
                  <a:schemeClr val="accent1"/>
                </a:solidFill>
              </a:ln>
              <a:effectLst/>
            </c:spPr>
          </c:marker>
          <c:xVal>
            <c:numRef>
              <c:f>'Loop Stability Worksht'!$AD$4:$AD$40</c:f>
              <c:numCache>
                <c:formatCode>General</c:formatCode>
                <c:ptCount val="37"/>
                <c:pt idx="0">
                  <c:v>10</c:v>
                </c:pt>
                <c:pt idx="1">
                  <c:v>20</c:v>
                </c:pt>
                <c:pt idx="2">
                  <c:v>30</c:v>
                </c:pt>
                <c:pt idx="3">
                  <c:v>40</c:v>
                </c:pt>
                <c:pt idx="4">
                  <c:v>50</c:v>
                </c:pt>
                <c:pt idx="5">
                  <c:v>60</c:v>
                </c:pt>
                <c:pt idx="6">
                  <c:v>70</c:v>
                </c:pt>
                <c:pt idx="7">
                  <c:v>80</c:v>
                </c:pt>
                <c:pt idx="8">
                  <c:v>90</c:v>
                </c:pt>
                <c:pt idx="9">
                  <c:v>100</c:v>
                </c:pt>
                <c:pt idx="10">
                  <c:v>200</c:v>
                </c:pt>
                <c:pt idx="11">
                  <c:v>300</c:v>
                </c:pt>
                <c:pt idx="12">
                  <c:v>400</c:v>
                </c:pt>
                <c:pt idx="13">
                  <c:v>500</c:v>
                </c:pt>
                <c:pt idx="14">
                  <c:v>600</c:v>
                </c:pt>
                <c:pt idx="15">
                  <c:v>700</c:v>
                </c:pt>
                <c:pt idx="16">
                  <c:v>800</c:v>
                </c:pt>
                <c:pt idx="17">
                  <c:v>900</c:v>
                </c:pt>
                <c:pt idx="18">
                  <c:v>1000</c:v>
                </c:pt>
                <c:pt idx="19">
                  <c:v>2000</c:v>
                </c:pt>
                <c:pt idx="20">
                  <c:v>3000</c:v>
                </c:pt>
                <c:pt idx="21">
                  <c:v>4000</c:v>
                </c:pt>
                <c:pt idx="22">
                  <c:v>5000</c:v>
                </c:pt>
                <c:pt idx="23">
                  <c:v>6000</c:v>
                </c:pt>
                <c:pt idx="24">
                  <c:v>7000</c:v>
                </c:pt>
                <c:pt idx="25">
                  <c:v>8000</c:v>
                </c:pt>
                <c:pt idx="26">
                  <c:v>9000</c:v>
                </c:pt>
                <c:pt idx="27">
                  <c:v>10000</c:v>
                </c:pt>
                <c:pt idx="28">
                  <c:v>20000</c:v>
                </c:pt>
                <c:pt idx="29">
                  <c:v>30000</c:v>
                </c:pt>
                <c:pt idx="30">
                  <c:v>40000</c:v>
                </c:pt>
                <c:pt idx="31">
                  <c:v>50000</c:v>
                </c:pt>
                <c:pt idx="32">
                  <c:v>60000</c:v>
                </c:pt>
                <c:pt idx="33">
                  <c:v>70000</c:v>
                </c:pt>
                <c:pt idx="34">
                  <c:v>80000</c:v>
                </c:pt>
                <c:pt idx="35">
                  <c:v>90000</c:v>
                </c:pt>
                <c:pt idx="36">
                  <c:v>100000</c:v>
                </c:pt>
              </c:numCache>
            </c:numRef>
          </c:xVal>
          <c:yVal>
            <c:numRef>
              <c:f>'Loop Stability Worksht'!$AE$4:$AE$40</c:f>
              <c:numCache>
                <c:formatCode>0.00</c:formatCode>
                <c:ptCount val="37"/>
                <c:pt idx="0">
                  <c:v>37.496081274097634</c:v>
                </c:pt>
                <c:pt idx="1">
                  <c:v>31.475481372168673</c:v>
                </c:pt>
                <c:pt idx="2">
                  <c:v>27.953656209972809</c:v>
                </c:pt>
                <c:pt idx="3">
                  <c:v>25.454881504291631</c:v>
                </c:pt>
                <c:pt idx="4">
                  <c:v>23.516681278182414</c:v>
                </c:pt>
                <c:pt idx="5">
                  <c:v>21.933056398848933</c:v>
                </c:pt>
                <c:pt idx="6">
                  <c:v>20.594120655422856</c:v>
                </c:pt>
                <c:pt idx="7">
                  <c:v>19.434281772622313</c:v>
                </c:pt>
                <c:pt idx="8">
                  <c:v>18.41123138799502</c:v>
                </c:pt>
                <c:pt idx="9">
                  <c:v>17.49608164866893</c:v>
                </c:pt>
                <c:pt idx="10">
                  <c:v>11.475482870453646</c:v>
                </c:pt>
                <c:pt idx="11">
                  <c:v>7.9536595811132624</c:v>
                </c:pt>
                <c:pt idx="12">
                  <c:v>5.4548874974283637</c:v>
                </c:pt>
                <c:pt idx="13">
                  <c:v>3.5166906424548512</c:v>
                </c:pt>
                <c:pt idx="14">
                  <c:v>1.9330698833947133</c:v>
                </c:pt>
                <c:pt idx="15">
                  <c:v>0.5941390093774489</c:v>
                </c:pt>
                <c:pt idx="16">
                  <c:v>-0.56569425488137914</c:v>
                </c:pt>
                <c:pt idx="17">
                  <c:v>-1.5887382718370344</c:v>
                </c:pt>
                <c:pt idx="18">
                  <c:v>-2.5038808943649151</c:v>
                </c:pt>
                <c:pt idx="19">
                  <c:v>-8.5243673036592078</c:v>
                </c:pt>
                <c:pt idx="20">
                  <c:v>-12.046003318055817</c:v>
                </c:pt>
                <c:pt idx="21">
                  <c:v>-14.544513230659785</c:v>
                </c:pt>
                <c:pt idx="22">
                  <c:v>-16.482373032252656</c:v>
                </c:pt>
                <c:pt idx="23">
                  <c:v>-18.065581873419337</c:v>
                </c:pt>
                <c:pt idx="24">
                  <c:v>-19.404025986763521</c:v>
                </c:pt>
                <c:pt idx="25">
                  <c:v>-20.563297673245415</c:v>
                </c:pt>
                <c:pt idx="26">
                  <c:v>-21.585705324934104</c:v>
                </c:pt>
                <c:pt idx="27">
                  <c:v>-22.500136828251751</c:v>
                </c:pt>
                <c:pt idx="28">
                  <c:v>-28.509410757188093</c:v>
                </c:pt>
                <c:pt idx="29">
                  <c:v>-32.012424689459934</c:v>
                </c:pt>
                <c:pt idx="30">
                  <c:v>-34.484999813096032</c:v>
                </c:pt>
                <c:pt idx="31">
                  <c:v>-36.389745449899785</c:v>
                </c:pt>
                <c:pt idx="32">
                  <c:v>-37.932828294947583</c:v>
                </c:pt>
                <c:pt idx="33">
                  <c:v>-39.224333616183081</c:v>
                </c:pt>
                <c:pt idx="34">
                  <c:v>-40.330081108310331</c:v>
                </c:pt>
                <c:pt idx="35">
                  <c:v>-41.292631472375668</c:v>
                </c:pt>
                <c:pt idx="36">
                  <c:v>-42.141146168030801</c:v>
                </c:pt>
              </c:numCache>
            </c:numRef>
          </c:yVal>
          <c:smooth val="1"/>
        </c:ser>
        <c:dLbls>
          <c:showLegendKey val="0"/>
          <c:showVal val="0"/>
          <c:showCatName val="0"/>
          <c:showSerName val="0"/>
          <c:showPercent val="0"/>
          <c:showBubbleSize val="0"/>
        </c:dLbls>
        <c:axId val="382724736"/>
        <c:axId val="129988840"/>
      </c:scatterChart>
      <c:scatterChart>
        <c:scatterStyle val="smoothMarker"/>
        <c:varyColors val="0"/>
        <c:ser>
          <c:idx val="1"/>
          <c:order val="1"/>
          <c:tx>
            <c:strRef>
              <c:f>'Loop Stability Worksht'!$AF$3</c:f>
              <c:strCache>
                <c:ptCount val="1"/>
                <c:pt idx="0">
                  <c:v>TL431 Phase</c:v>
                </c:pt>
              </c:strCache>
            </c:strRef>
          </c:tx>
          <c:spPr>
            <a:ln w="19050" cap="rnd">
              <a:solidFill>
                <a:schemeClr val="accent2"/>
              </a:solidFill>
              <a:round/>
            </a:ln>
            <a:effectLst/>
          </c:spPr>
          <c:marker>
            <c:symbol val="circle"/>
            <c:size val="5"/>
            <c:spPr>
              <a:solidFill>
                <a:schemeClr val="accent2"/>
              </a:solidFill>
              <a:ln w="9525">
                <a:solidFill>
                  <a:schemeClr val="accent2"/>
                </a:solidFill>
              </a:ln>
              <a:effectLst/>
            </c:spPr>
          </c:marker>
          <c:xVal>
            <c:numRef>
              <c:f>'Loop Stability Worksht'!$AD$4:$AD$40</c:f>
              <c:numCache>
                <c:formatCode>General</c:formatCode>
                <c:ptCount val="37"/>
                <c:pt idx="0">
                  <c:v>10</c:v>
                </c:pt>
                <c:pt idx="1">
                  <c:v>20</c:v>
                </c:pt>
                <c:pt idx="2">
                  <c:v>30</c:v>
                </c:pt>
                <c:pt idx="3">
                  <c:v>40</c:v>
                </c:pt>
                <c:pt idx="4">
                  <c:v>50</c:v>
                </c:pt>
                <c:pt idx="5">
                  <c:v>60</c:v>
                </c:pt>
                <c:pt idx="6">
                  <c:v>70</c:v>
                </c:pt>
                <c:pt idx="7">
                  <c:v>80</c:v>
                </c:pt>
                <c:pt idx="8">
                  <c:v>90</c:v>
                </c:pt>
                <c:pt idx="9">
                  <c:v>100</c:v>
                </c:pt>
                <c:pt idx="10">
                  <c:v>200</c:v>
                </c:pt>
                <c:pt idx="11">
                  <c:v>300</c:v>
                </c:pt>
                <c:pt idx="12">
                  <c:v>400</c:v>
                </c:pt>
                <c:pt idx="13">
                  <c:v>500</c:v>
                </c:pt>
                <c:pt idx="14">
                  <c:v>600</c:v>
                </c:pt>
                <c:pt idx="15">
                  <c:v>700</c:v>
                </c:pt>
                <c:pt idx="16">
                  <c:v>800</c:v>
                </c:pt>
                <c:pt idx="17">
                  <c:v>900</c:v>
                </c:pt>
                <c:pt idx="18">
                  <c:v>1000</c:v>
                </c:pt>
                <c:pt idx="19">
                  <c:v>2000</c:v>
                </c:pt>
                <c:pt idx="20">
                  <c:v>3000</c:v>
                </c:pt>
                <c:pt idx="21">
                  <c:v>4000</c:v>
                </c:pt>
                <c:pt idx="22">
                  <c:v>5000</c:v>
                </c:pt>
                <c:pt idx="23">
                  <c:v>6000</c:v>
                </c:pt>
                <c:pt idx="24">
                  <c:v>7000</c:v>
                </c:pt>
                <c:pt idx="25">
                  <c:v>8000</c:v>
                </c:pt>
                <c:pt idx="26">
                  <c:v>9000</c:v>
                </c:pt>
                <c:pt idx="27">
                  <c:v>10000</c:v>
                </c:pt>
                <c:pt idx="28">
                  <c:v>20000</c:v>
                </c:pt>
                <c:pt idx="29">
                  <c:v>30000</c:v>
                </c:pt>
                <c:pt idx="30">
                  <c:v>40000</c:v>
                </c:pt>
                <c:pt idx="31">
                  <c:v>50000</c:v>
                </c:pt>
                <c:pt idx="32">
                  <c:v>60000</c:v>
                </c:pt>
                <c:pt idx="33">
                  <c:v>70000</c:v>
                </c:pt>
                <c:pt idx="34">
                  <c:v>80000</c:v>
                </c:pt>
                <c:pt idx="35">
                  <c:v>90000</c:v>
                </c:pt>
                <c:pt idx="36">
                  <c:v>100000</c:v>
                </c:pt>
              </c:numCache>
            </c:numRef>
          </c:xVal>
          <c:yVal>
            <c:numRef>
              <c:f>'Loop Stability Worksht'!$AF$4:$AF$40</c:f>
              <c:numCache>
                <c:formatCode>0.00</c:formatCode>
                <c:ptCount val="37"/>
                <c:pt idx="0">
                  <c:v>90.001691142227614</c:v>
                </c:pt>
                <c:pt idx="1">
                  <c:v>90.003382284452286</c:v>
                </c:pt>
                <c:pt idx="2">
                  <c:v>90.005073426671061</c:v>
                </c:pt>
                <c:pt idx="3">
                  <c:v>90.006764568880996</c:v>
                </c:pt>
                <c:pt idx="4">
                  <c:v>90.008455711079151</c:v>
                </c:pt>
                <c:pt idx="5">
                  <c:v>90.010146853262555</c:v>
                </c:pt>
                <c:pt idx="6">
                  <c:v>90.011837995428294</c:v>
                </c:pt>
                <c:pt idx="7">
                  <c:v>90.013529137573414</c:v>
                </c:pt>
                <c:pt idx="8">
                  <c:v>90.015220279694958</c:v>
                </c:pt>
                <c:pt idx="9">
                  <c:v>90.01691142178997</c:v>
                </c:pt>
                <c:pt idx="10">
                  <c:v>90.03382284063332</c:v>
                </c:pt>
                <c:pt idx="11">
                  <c:v>90.050734253583428</c:v>
                </c:pt>
                <c:pt idx="12">
                  <c:v>90.067645657693674</c:v>
                </c:pt>
                <c:pt idx="13">
                  <c:v>90.084557050017423</c:v>
                </c:pt>
                <c:pt idx="14">
                  <c:v>90.101468427608125</c:v>
                </c:pt>
                <c:pt idx="15">
                  <c:v>90.11837978751916</c:v>
                </c:pt>
                <c:pt idx="16">
                  <c:v>90.135291126804006</c:v>
                </c:pt>
                <c:pt idx="17">
                  <c:v>90.152202442516085</c:v>
                </c:pt>
                <c:pt idx="18">
                  <c:v>90.169113731708919</c:v>
                </c:pt>
                <c:pt idx="19">
                  <c:v>90.338224516868053</c:v>
                </c:pt>
                <c:pt idx="20">
                  <c:v>90.507329409235638</c:v>
                </c:pt>
                <c:pt idx="21">
                  <c:v>90.676425463185922</c:v>
                </c:pt>
                <c:pt idx="22">
                  <c:v>90.845509734016815</c:v>
                </c:pt>
                <c:pt idx="23">
                  <c:v>91.014579278257614</c:v>
                </c:pt>
                <c:pt idx="24">
                  <c:v>91.183631153976009</c:v>
                </c:pt>
                <c:pt idx="25">
                  <c:v>91.352662421085114</c:v>
                </c:pt>
                <c:pt idx="26">
                  <c:v>91.521670141649693</c:v>
                </c:pt>
                <c:pt idx="27">
                  <c:v>91.690651380191852</c:v>
                </c:pt>
                <c:pt idx="28">
                  <c:v>93.378363814773493</c:v>
                </c:pt>
                <c:pt idx="29">
                  <c:v>95.060228896671617</c:v>
                </c:pt>
                <c:pt idx="30">
                  <c:v>96.733398506898169</c:v>
                </c:pt>
                <c:pt idx="31">
                  <c:v>98.39511302390018</c:v>
                </c:pt>
                <c:pt idx="32">
                  <c:v>100.04272731417977</c:v>
                </c:pt>
                <c:pt idx="33">
                  <c:v>101.6737339277815</c:v>
                </c:pt>
                <c:pt idx="34">
                  <c:v>103.28578304641147</c:v>
                </c:pt>
                <c:pt idx="35">
                  <c:v>104.87669886953469</c:v>
                </c:pt>
                <c:pt idx="36">
                  <c:v>106.44449226584106</c:v>
                </c:pt>
              </c:numCache>
            </c:numRef>
          </c:yVal>
          <c:smooth val="1"/>
        </c:ser>
        <c:dLbls>
          <c:showLegendKey val="0"/>
          <c:showVal val="0"/>
          <c:showCatName val="0"/>
          <c:showSerName val="0"/>
          <c:showPercent val="0"/>
          <c:showBubbleSize val="0"/>
        </c:dLbls>
        <c:axId val="129992760"/>
        <c:axId val="129992368"/>
      </c:scatterChart>
      <c:valAx>
        <c:axId val="382724736"/>
        <c:scaling>
          <c:logBase val="10"/>
          <c:orientation val="minMax"/>
          <c:max val="100000"/>
          <c:min val="10"/>
        </c:scaling>
        <c:delete val="0"/>
        <c:axPos val="b"/>
        <c:majorGridlines>
          <c:spPr>
            <a:ln w="9525" cap="flat" cmpd="sng" algn="ctr">
              <a:solidFill>
                <a:schemeClr val="tx1">
                  <a:lumMod val="15000"/>
                  <a:lumOff val="85000"/>
                </a:schemeClr>
              </a:solidFill>
              <a:round/>
            </a:ln>
            <a:effectLst/>
          </c:spPr>
        </c:majorGridlines>
        <c:minorGridlines>
          <c:spPr>
            <a:ln w="9525" cap="flat" cmpd="sng" algn="ctr">
              <a:solidFill>
                <a:schemeClr val="bg1">
                  <a:lumMod val="65000"/>
                </a:schemeClr>
              </a:solidFill>
              <a:round/>
            </a:ln>
            <a:effectLst/>
          </c:spPr>
        </c:minorGridlines>
        <c:numFmt formatCode="General" sourceLinked="1"/>
        <c:majorTickMark val="none"/>
        <c:minorTickMark val="none"/>
        <c:tickLblPos val="low"/>
        <c:spPr>
          <a:noFill/>
          <a:ln w="12700" cap="flat" cmpd="sng" algn="ctr">
            <a:solidFill>
              <a:schemeClr val="tx1"/>
            </a:solidFill>
            <a:round/>
          </a:ln>
          <a:effectLst/>
        </c:spPr>
        <c:txPr>
          <a:bodyPr rot="-60000000" spcFirstLastPara="1" vertOverflow="ellipsis" vert="horz" wrap="square" anchor="ctr" anchorCtr="1"/>
          <a:lstStyle/>
          <a:p>
            <a:pPr>
              <a:defRPr sz="1400" b="1" i="0" u="none" strike="noStrike" kern="1200" baseline="0">
                <a:solidFill>
                  <a:schemeClr val="tx1">
                    <a:lumMod val="65000"/>
                    <a:lumOff val="35000"/>
                  </a:schemeClr>
                </a:solidFill>
                <a:latin typeface="+mn-lt"/>
                <a:ea typeface="+mn-ea"/>
                <a:cs typeface="+mn-cs"/>
              </a:defRPr>
            </a:pPr>
            <a:endParaRPr lang="en-US"/>
          </a:p>
        </c:txPr>
        <c:crossAx val="129988840"/>
        <c:crosses val="autoZero"/>
        <c:crossBetween val="midCat"/>
      </c:valAx>
      <c:valAx>
        <c:axId val="129988840"/>
        <c:scaling>
          <c:orientation val="minMax"/>
        </c:scaling>
        <c:delete val="0"/>
        <c:axPos val="l"/>
        <c:majorGridlines>
          <c:spPr>
            <a:ln w="9525" cap="flat" cmpd="sng" algn="ctr">
              <a:solidFill>
                <a:schemeClr val="tx1"/>
              </a:solidFill>
              <a:round/>
            </a:ln>
            <a:effectLst/>
          </c:spPr>
        </c:majorGridlines>
        <c:minorGridlines>
          <c:spPr>
            <a:ln w="9525" cap="flat" cmpd="sng" algn="ctr">
              <a:solidFill>
                <a:schemeClr val="bg1">
                  <a:lumMod val="85000"/>
                </a:schemeClr>
              </a:solidFill>
              <a:round/>
            </a:ln>
            <a:effectLst/>
          </c:spPr>
        </c:minorGridlines>
        <c:numFmt formatCode="0.00"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400" b="1" i="0" u="none" strike="noStrike" kern="1200" baseline="0">
                <a:solidFill>
                  <a:schemeClr val="tx1">
                    <a:lumMod val="65000"/>
                    <a:lumOff val="35000"/>
                  </a:schemeClr>
                </a:solidFill>
                <a:latin typeface="+mn-lt"/>
                <a:ea typeface="+mn-ea"/>
                <a:cs typeface="+mn-cs"/>
              </a:defRPr>
            </a:pPr>
            <a:endParaRPr lang="en-US"/>
          </a:p>
        </c:txPr>
        <c:crossAx val="382724736"/>
        <c:crosses val="autoZero"/>
        <c:crossBetween val="midCat"/>
      </c:valAx>
      <c:valAx>
        <c:axId val="129992368"/>
        <c:scaling>
          <c:orientation val="minMax"/>
        </c:scaling>
        <c:delete val="0"/>
        <c:axPos val="r"/>
        <c:numFmt formatCode="0.00" sourceLinked="1"/>
        <c:majorTickMark val="out"/>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400" b="1" i="0" u="none" strike="noStrike" kern="1200" baseline="0">
                <a:solidFill>
                  <a:schemeClr val="tx1">
                    <a:lumMod val="65000"/>
                    <a:lumOff val="35000"/>
                  </a:schemeClr>
                </a:solidFill>
                <a:latin typeface="+mn-lt"/>
                <a:ea typeface="+mn-ea"/>
                <a:cs typeface="+mn-cs"/>
              </a:defRPr>
            </a:pPr>
            <a:endParaRPr lang="en-US"/>
          </a:p>
        </c:txPr>
        <c:crossAx val="129992760"/>
        <c:crosses val="max"/>
        <c:crossBetween val="midCat"/>
      </c:valAx>
      <c:valAx>
        <c:axId val="129992760"/>
        <c:scaling>
          <c:logBase val="10"/>
          <c:orientation val="minMax"/>
        </c:scaling>
        <c:delete val="1"/>
        <c:axPos val="b"/>
        <c:numFmt formatCode="General" sourceLinked="1"/>
        <c:majorTickMark val="out"/>
        <c:minorTickMark val="none"/>
        <c:tickLblPos val="nextTo"/>
        <c:crossAx val="129992368"/>
        <c:crosses val="autoZero"/>
        <c:crossBetween val="midCat"/>
      </c:valAx>
      <c:spPr>
        <a:noFill/>
        <a:ln>
          <a:noFill/>
        </a:ln>
        <a:effectLst/>
      </c:spPr>
    </c:plotArea>
    <c:legend>
      <c:legendPos val="b"/>
      <c:layout>
        <c:manualLayout>
          <c:xMode val="edge"/>
          <c:yMode val="edge"/>
          <c:x val="0.25394913780591266"/>
          <c:y val="0.14360870431354816"/>
          <c:w val="0.30108664741977775"/>
          <c:h val="4.7881686399473065E-2"/>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400" b="1" i="0" baseline="0"/>
      </a:pPr>
      <a:endParaRPr lang="en-US"/>
    </a:p>
  </c:txPr>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heets/_rels/sheet1.xml.rels><?xml version="1.0" encoding="UTF-8" standalone="yes"?>
<Relationships xmlns="http://schemas.openxmlformats.org/package/2006/relationships"><Relationship Id="rId1" Type="http://schemas.openxmlformats.org/officeDocument/2006/relationships/drawing" Target="../drawings/drawing2.xml"/></Relationships>
</file>

<file path=xl/chartsheets/_rels/sheet2.xml.rels><?xml version="1.0" encoding="UTF-8" standalone="yes"?>
<Relationships xmlns="http://schemas.openxmlformats.org/package/2006/relationships"><Relationship Id="rId1" Type="http://schemas.openxmlformats.org/officeDocument/2006/relationships/drawing" Target="../drawings/drawing3.xml"/></Relationships>
</file>

<file path=xl/chartsheets/_rels/sheet3.xml.rels><?xml version="1.0" encoding="UTF-8" standalone="yes"?>
<Relationships xmlns="http://schemas.openxmlformats.org/package/2006/relationships"><Relationship Id="rId1" Type="http://schemas.openxmlformats.org/officeDocument/2006/relationships/drawing" Target="../drawings/drawing4.xml"/></Relationships>
</file>

<file path=xl/chartsheets/_rels/sheet4.xml.rels><?xml version="1.0" encoding="UTF-8" standalone="yes"?>
<Relationships xmlns="http://schemas.openxmlformats.org/package/2006/relationships"><Relationship Id="rId1" Type="http://schemas.openxmlformats.org/officeDocument/2006/relationships/drawing" Target="../drawings/drawing5.xml"/></Relationships>
</file>

<file path=xl/chartsheets/sheet1.xml><?xml version="1.0" encoding="utf-8"?>
<chartsheet xmlns="http://schemas.openxmlformats.org/spreadsheetml/2006/main" xmlns:r="http://schemas.openxmlformats.org/officeDocument/2006/relationships">
  <sheetPr/>
  <sheetViews>
    <sheetView zoomScale="123" workbookViewId="0" zoomToFit="1"/>
  </sheetViews>
  <pageMargins left="0.7" right="0.7" top="0.75" bottom="0.75" header="0.3" footer="0.3"/>
  <drawing r:id="rId1"/>
</chartsheet>
</file>

<file path=xl/chartsheets/sheet2.xml><?xml version="1.0" encoding="utf-8"?>
<chartsheet xmlns="http://schemas.openxmlformats.org/spreadsheetml/2006/main" xmlns:r="http://schemas.openxmlformats.org/officeDocument/2006/relationships">
  <sheetPr/>
  <sheetViews>
    <sheetView zoomScale="123" workbookViewId="0" zoomToFit="1"/>
  </sheetViews>
  <pageMargins left="0.7" right="0.7" top="0.75" bottom="0.75" header="0.3" footer="0.3"/>
  <drawing r:id="rId1"/>
</chartsheet>
</file>

<file path=xl/chartsheets/sheet3.xml><?xml version="1.0" encoding="utf-8"?>
<chartsheet xmlns="http://schemas.openxmlformats.org/spreadsheetml/2006/main" xmlns:r="http://schemas.openxmlformats.org/officeDocument/2006/relationships">
  <sheetPr/>
  <sheetViews>
    <sheetView zoomScale="123" workbookViewId="0" zoomToFit="1"/>
  </sheetViews>
  <pageMargins left="0.7" right="0.7" top="0.75" bottom="0.75" header="0.3" footer="0.3"/>
  <drawing r:id="rId1"/>
</chartsheet>
</file>

<file path=xl/chartsheets/sheet4.xml><?xml version="1.0" encoding="utf-8"?>
<chartsheet xmlns="http://schemas.openxmlformats.org/spreadsheetml/2006/main" xmlns:r="http://schemas.openxmlformats.org/officeDocument/2006/relationships">
  <sheetPr/>
  <sheetViews>
    <sheetView zoomScale="123" workbookViewId="0" zoomToFit="1"/>
  </sheetViews>
  <pageMargins left="0.7" right="0.7" top="0.75" bottom="0.75" header="0.3" footer="0.3"/>
  <drawing r:id="rId1"/>
</chartsheet>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editAs="oneCell">
    <xdr:from>
      <xdr:col>14</xdr:col>
      <xdr:colOff>238125</xdr:colOff>
      <xdr:row>23</xdr:row>
      <xdr:rowOff>228600</xdr:rowOff>
    </xdr:from>
    <xdr:to>
      <xdr:col>30</xdr:col>
      <xdr:colOff>523875</xdr:colOff>
      <xdr:row>51</xdr:row>
      <xdr:rowOff>219075</xdr:rowOff>
    </xdr:to>
    <xdr:pic>
      <xdr:nvPicPr>
        <xdr:cNvPr id="5" name="Picture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44450" y="5753100"/>
          <a:ext cx="13401675" cy="74961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absoluteAnchor>
    <xdr:pos x="0" y="0"/>
    <xdr:ext cx="9308171" cy="6078963"/>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xml><?xml version="1.0" encoding="utf-8"?>
<xdr:wsDr xmlns:xdr="http://schemas.openxmlformats.org/drawingml/2006/spreadsheetDrawing" xmlns:a="http://schemas.openxmlformats.org/drawingml/2006/main">
  <xdr:absoluteAnchor>
    <xdr:pos x="0" y="0"/>
    <xdr:ext cx="9308171" cy="6078963"/>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xml><?xml version="1.0" encoding="utf-8"?>
<xdr:wsDr xmlns:xdr="http://schemas.openxmlformats.org/drawingml/2006/spreadsheetDrawing" xmlns:a="http://schemas.openxmlformats.org/drawingml/2006/main">
  <xdr:absoluteAnchor>
    <xdr:pos x="0" y="0"/>
    <xdr:ext cx="9308171" cy="6078963"/>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5.xml><?xml version="1.0" encoding="utf-8"?>
<xdr:wsDr xmlns:xdr="http://schemas.openxmlformats.org/drawingml/2006/spreadsheetDrawing" xmlns:a="http://schemas.openxmlformats.org/drawingml/2006/main">
  <xdr:absoluteAnchor>
    <xdr:pos x="0" y="0"/>
    <xdr:ext cx="9308171" cy="6078963"/>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8"/>
  <sheetViews>
    <sheetView showGridLines="0" workbookViewId="0">
      <selection activeCell="H33" sqref="H33"/>
    </sheetView>
  </sheetViews>
  <sheetFormatPr defaultRowHeight="15" x14ac:dyDescent="0.25"/>
  <cols>
    <col min="1" max="14" width="15.7109375" customWidth="1"/>
  </cols>
  <sheetData>
    <row r="1" spans="1:14" x14ac:dyDescent="0.25">
      <c r="A1" s="1"/>
      <c r="B1" s="1"/>
      <c r="C1" s="1"/>
      <c r="D1" s="1"/>
      <c r="E1" s="1"/>
      <c r="F1" s="1"/>
      <c r="G1" s="1"/>
      <c r="H1" s="1"/>
      <c r="I1" s="1"/>
      <c r="J1" s="1"/>
      <c r="K1" s="1"/>
      <c r="L1" s="1"/>
      <c r="M1" s="1"/>
      <c r="N1" s="1"/>
    </row>
    <row r="2" spans="1:14" x14ac:dyDescent="0.25">
      <c r="A2" s="1"/>
      <c r="B2" s="1"/>
      <c r="C2" s="1"/>
      <c r="D2" s="1"/>
      <c r="E2" s="1"/>
      <c r="F2" s="1"/>
      <c r="G2" s="1"/>
      <c r="H2" s="1"/>
      <c r="I2" s="1"/>
      <c r="J2" s="1"/>
      <c r="K2" s="1"/>
      <c r="L2" s="1"/>
      <c r="M2" s="1"/>
      <c r="N2" s="1"/>
    </row>
    <row r="3" spans="1:14" ht="15" customHeight="1" x14ac:dyDescent="0.25">
      <c r="A3" s="1"/>
      <c r="B3" s="308" t="s">
        <v>325</v>
      </c>
      <c r="C3" s="308"/>
      <c r="D3" s="308"/>
      <c r="E3" s="308"/>
      <c r="F3" s="308"/>
      <c r="G3" s="308"/>
      <c r="H3" s="308"/>
      <c r="I3" s="308"/>
      <c r="J3" s="308"/>
      <c r="K3" s="308"/>
      <c r="L3" s="308"/>
      <c r="M3" s="308"/>
      <c r="N3" s="1"/>
    </row>
    <row r="4" spans="1:14" ht="15" customHeight="1" x14ac:dyDescent="0.25">
      <c r="A4" s="1"/>
      <c r="B4" s="308"/>
      <c r="C4" s="308"/>
      <c r="D4" s="308"/>
      <c r="E4" s="308"/>
      <c r="F4" s="308"/>
      <c r="G4" s="308"/>
      <c r="H4" s="308"/>
      <c r="I4" s="308"/>
      <c r="J4" s="308"/>
      <c r="K4" s="308"/>
      <c r="L4" s="308"/>
      <c r="M4" s="308"/>
      <c r="N4" s="1"/>
    </row>
    <row r="5" spans="1:14" ht="15" customHeight="1" x14ac:dyDescent="0.25">
      <c r="A5" s="1"/>
      <c r="B5" s="308"/>
      <c r="C5" s="308"/>
      <c r="D5" s="308"/>
      <c r="E5" s="308"/>
      <c r="F5" s="308"/>
      <c r="G5" s="308"/>
      <c r="H5" s="308"/>
      <c r="I5" s="308"/>
      <c r="J5" s="308"/>
      <c r="K5" s="308"/>
      <c r="L5" s="308"/>
      <c r="M5" s="308"/>
      <c r="N5" s="1"/>
    </row>
    <row r="6" spans="1:14" ht="15" customHeight="1" x14ac:dyDescent="0.25">
      <c r="A6" s="1"/>
      <c r="B6" s="308"/>
      <c r="C6" s="308"/>
      <c r="D6" s="308"/>
      <c r="E6" s="308"/>
      <c r="F6" s="308"/>
      <c r="G6" s="308"/>
      <c r="H6" s="308"/>
      <c r="I6" s="308"/>
      <c r="J6" s="308"/>
      <c r="K6" s="308"/>
      <c r="L6" s="308"/>
      <c r="M6" s="308"/>
      <c r="N6" s="1"/>
    </row>
    <row r="7" spans="1:14" ht="15" customHeight="1" x14ac:dyDescent="0.25">
      <c r="A7" s="1"/>
      <c r="B7" s="1"/>
      <c r="C7" s="7"/>
      <c r="D7" s="7"/>
      <c r="E7" s="7"/>
      <c r="F7" s="7"/>
      <c r="G7" s="7"/>
      <c r="H7" s="7"/>
      <c r="I7" s="7"/>
      <c r="J7" s="7"/>
      <c r="K7" s="7"/>
      <c r="L7" s="7"/>
      <c r="M7" s="1"/>
      <c r="N7" s="1"/>
    </row>
    <row r="8" spans="1:14" ht="15" customHeight="1" x14ac:dyDescent="0.25">
      <c r="A8" s="1"/>
      <c r="B8" s="1"/>
      <c r="C8" s="304" t="s">
        <v>326</v>
      </c>
      <c r="D8" s="304"/>
      <c r="E8" s="304"/>
      <c r="F8" s="304"/>
      <c r="G8" s="304"/>
      <c r="H8" s="304"/>
      <c r="I8" s="304"/>
      <c r="J8" s="304"/>
      <c r="K8" s="304"/>
      <c r="L8" s="304"/>
      <c r="M8" s="1"/>
      <c r="N8" s="1"/>
    </row>
    <row r="9" spans="1:14" ht="15" customHeight="1" x14ac:dyDescent="0.25">
      <c r="A9" s="1"/>
      <c r="B9" s="1"/>
      <c r="C9" s="304"/>
      <c r="D9" s="304"/>
      <c r="E9" s="304"/>
      <c r="F9" s="304"/>
      <c r="G9" s="304"/>
      <c r="H9" s="304"/>
      <c r="I9" s="304"/>
      <c r="J9" s="304"/>
      <c r="K9" s="304"/>
      <c r="L9" s="304"/>
      <c r="M9" s="1"/>
      <c r="N9" s="1"/>
    </row>
    <row r="10" spans="1:14" ht="15" customHeight="1" x14ac:dyDescent="0.25">
      <c r="A10" s="1"/>
      <c r="B10" s="1"/>
      <c r="C10" s="304"/>
      <c r="D10" s="304"/>
      <c r="E10" s="304"/>
      <c r="F10" s="304"/>
      <c r="G10" s="304"/>
      <c r="H10" s="304"/>
      <c r="I10" s="304"/>
      <c r="J10" s="304"/>
      <c r="K10" s="304"/>
      <c r="L10" s="304"/>
      <c r="M10" s="1"/>
      <c r="N10" s="1"/>
    </row>
    <row r="11" spans="1:14" ht="15" customHeight="1" x14ac:dyDescent="0.25">
      <c r="A11" s="1"/>
      <c r="B11" s="1"/>
      <c r="C11" s="304"/>
      <c r="D11" s="304"/>
      <c r="E11" s="304"/>
      <c r="F11" s="304"/>
      <c r="G11" s="304"/>
      <c r="H11" s="304"/>
      <c r="I11" s="304"/>
      <c r="J11" s="304"/>
      <c r="K11" s="304"/>
      <c r="L11" s="304"/>
      <c r="M11" s="1"/>
      <c r="N11" s="1"/>
    </row>
    <row r="12" spans="1:14" ht="15" customHeight="1" x14ac:dyDescent="0.25">
      <c r="A12" s="1"/>
      <c r="B12" s="1"/>
      <c r="C12" s="304"/>
      <c r="D12" s="304"/>
      <c r="E12" s="304"/>
      <c r="F12" s="304"/>
      <c r="G12" s="304"/>
      <c r="H12" s="304"/>
      <c r="I12" s="304"/>
      <c r="J12" s="304"/>
      <c r="K12" s="304"/>
      <c r="L12" s="304"/>
      <c r="M12" s="1"/>
      <c r="N12" s="1"/>
    </row>
    <row r="13" spans="1:14" ht="15" customHeight="1" x14ac:dyDescent="0.25">
      <c r="A13" s="1"/>
      <c r="B13" s="1"/>
      <c r="C13" s="304"/>
      <c r="D13" s="304"/>
      <c r="E13" s="304"/>
      <c r="F13" s="304"/>
      <c r="G13" s="304"/>
      <c r="H13" s="304"/>
      <c r="I13" s="304"/>
      <c r="J13" s="304"/>
      <c r="K13" s="304"/>
      <c r="L13" s="304"/>
      <c r="M13" s="1"/>
      <c r="N13" s="1"/>
    </row>
    <row r="14" spans="1:14" ht="15" customHeight="1" x14ac:dyDescent="0.25">
      <c r="A14" s="1"/>
      <c r="B14" s="1"/>
      <c r="C14" s="304"/>
      <c r="D14" s="304"/>
      <c r="E14" s="304"/>
      <c r="F14" s="304"/>
      <c r="G14" s="304"/>
      <c r="H14" s="304"/>
      <c r="I14" s="304"/>
      <c r="J14" s="304"/>
      <c r="K14" s="304"/>
      <c r="L14" s="304"/>
      <c r="M14" s="1"/>
      <c r="N14" s="1"/>
    </row>
    <row r="15" spans="1:14" ht="15" customHeight="1" x14ac:dyDescent="0.25">
      <c r="A15" s="1"/>
      <c r="B15" s="1"/>
      <c r="C15" s="304"/>
      <c r="D15" s="304"/>
      <c r="E15" s="304"/>
      <c r="F15" s="304"/>
      <c r="G15" s="304"/>
      <c r="H15" s="304"/>
      <c r="I15" s="304"/>
      <c r="J15" s="304"/>
      <c r="K15" s="304"/>
      <c r="L15" s="304"/>
      <c r="M15" s="1"/>
      <c r="N15" s="1"/>
    </row>
    <row r="16" spans="1:14" ht="15" customHeight="1" x14ac:dyDescent="0.25">
      <c r="A16" s="1"/>
      <c r="B16" s="1"/>
      <c r="C16" s="304"/>
      <c r="D16" s="304"/>
      <c r="E16" s="304"/>
      <c r="F16" s="304"/>
      <c r="G16" s="304"/>
      <c r="H16" s="304"/>
      <c r="I16" s="304"/>
      <c r="J16" s="304"/>
      <c r="K16" s="304"/>
      <c r="L16" s="304"/>
      <c r="M16" s="1"/>
      <c r="N16" s="1"/>
    </row>
    <row r="17" spans="1:14" ht="15" customHeight="1" x14ac:dyDescent="0.25">
      <c r="A17" s="1"/>
      <c r="B17" s="1"/>
      <c r="C17" s="304"/>
      <c r="D17" s="304"/>
      <c r="E17" s="304"/>
      <c r="F17" s="304"/>
      <c r="G17" s="304"/>
      <c r="H17" s="304"/>
      <c r="I17" s="304"/>
      <c r="J17" s="304"/>
      <c r="K17" s="304"/>
      <c r="L17" s="304"/>
      <c r="M17" s="1"/>
      <c r="N17" s="1"/>
    </row>
    <row r="18" spans="1:14" ht="15" customHeight="1" x14ac:dyDescent="0.25">
      <c r="A18" s="1"/>
      <c r="B18" s="1"/>
      <c r="C18" s="304"/>
      <c r="D18" s="304"/>
      <c r="E18" s="304"/>
      <c r="F18" s="304"/>
      <c r="G18" s="304"/>
      <c r="H18" s="304"/>
      <c r="I18" s="304"/>
      <c r="J18" s="304"/>
      <c r="K18" s="304"/>
      <c r="L18" s="304"/>
      <c r="M18" s="1"/>
      <c r="N18" s="1"/>
    </row>
    <row r="19" spans="1:14" ht="30" customHeight="1" thickBot="1" x14ac:dyDescent="0.3">
      <c r="A19" s="1"/>
      <c r="B19" s="1"/>
      <c r="C19" s="8"/>
      <c r="D19" s="8"/>
      <c r="E19" s="8"/>
      <c r="F19" s="8"/>
      <c r="G19" s="8"/>
      <c r="H19" s="8"/>
      <c r="I19" s="8"/>
      <c r="J19" s="8"/>
      <c r="K19" s="8"/>
      <c r="L19" s="8"/>
      <c r="M19" s="1"/>
      <c r="N19" s="1"/>
    </row>
    <row r="20" spans="1:14" ht="30" customHeight="1" x14ac:dyDescent="0.25">
      <c r="A20" s="1"/>
      <c r="B20" s="1"/>
      <c r="C20" s="305" t="s">
        <v>19</v>
      </c>
      <c r="D20" s="306"/>
      <c r="E20" s="306"/>
      <c r="F20" s="306"/>
      <c r="G20" s="306"/>
      <c r="H20" s="306"/>
      <c r="I20" s="306"/>
      <c r="J20" s="306"/>
      <c r="K20" s="306"/>
      <c r="L20" s="307"/>
      <c r="M20" s="1"/>
      <c r="N20" s="1"/>
    </row>
    <row r="21" spans="1:14" ht="15" customHeight="1" x14ac:dyDescent="0.25">
      <c r="A21" s="1"/>
      <c r="B21" s="309" t="s">
        <v>1</v>
      </c>
      <c r="C21" s="309"/>
      <c r="D21" s="309"/>
      <c r="E21" s="310" t="s">
        <v>20</v>
      </c>
      <c r="F21" s="310"/>
      <c r="G21" s="310"/>
      <c r="H21" s="311" t="s">
        <v>21</v>
      </c>
      <c r="I21" s="311"/>
      <c r="J21" s="311"/>
      <c r="K21" s="312" t="s">
        <v>22</v>
      </c>
      <c r="L21" s="312"/>
      <c r="M21" s="312"/>
      <c r="N21" s="1"/>
    </row>
    <row r="22" spans="1:14" ht="15" customHeight="1" x14ac:dyDescent="0.25">
      <c r="A22" s="1"/>
      <c r="B22" s="309"/>
      <c r="C22" s="309"/>
      <c r="D22" s="309"/>
      <c r="E22" s="310"/>
      <c r="F22" s="310"/>
      <c r="G22" s="310"/>
      <c r="H22" s="311"/>
      <c r="I22" s="311"/>
      <c r="J22" s="311"/>
      <c r="K22" s="312"/>
      <c r="L22" s="312"/>
      <c r="M22" s="312"/>
      <c r="N22" s="1"/>
    </row>
    <row r="23" spans="1:14" x14ac:dyDescent="0.25">
      <c r="A23" s="1"/>
      <c r="B23" s="1"/>
      <c r="C23" s="1"/>
      <c r="D23" s="1"/>
      <c r="E23" s="1"/>
      <c r="F23" s="1"/>
      <c r="G23" s="1"/>
      <c r="H23" s="1"/>
      <c r="I23" s="1"/>
      <c r="J23" s="1"/>
      <c r="K23" s="1"/>
      <c r="L23" s="1"/>
      <c r="M23" s="1"/>
      <c r="N23" s="1"/>
    </row>
    <row r="24" spans="1:14" ht="26.25" x14ac:dyDescent="0.4">
      <c r="A24" s="1"/>
      <c r="B24" s="1"/>
      <c r="C24" s="302">
        <v>43917</v>
      </c>
      <c r="D24" s="303"/>
      <c r="E24" s="303"/>
      <c r="F24" s="303"/>
      <c r="G24" s="303"/>
      <c r="H24" s="303"/>
      <c r="I24" s="303"/>
      <c r="J24" s="303"/>
      <c r="K24" s="303"/>
      <c r="L24" s="303"/>
      <c r="M24" s="1"/>
      <c r="N24" s="1"/>
    </row>
    <row r="25" spans="1:14" x14ac:dyDescent="0.25">
      <c r="A25" s="1"/>
      <c r="B25" s="1"/>
      <c r="C25" s="1"/>
      <c r="D25" s="1"/>
      <c r="E25" s="1"/>
      <c r="F25" s="1"/>
      <c r="G25" s="1"/>
      <c r="H25" s="1"/>
      <c r="I25" s="1"/>
      <c r="J25" s="1"/>
      <c r="K25" s="1"/>
      <c r="L25" s="1"/>
      <c r="M25" s="1"/>
      <c r="N25" s="1"/>
    </row>
    <row r="26" spans="1:14" ht="26.25" x14ac:dyDescent="0.4">
      <c r="A26" s="1"/>
      <c r="B26" s="1"/>
      <c r="C26" s="303" t="s">
        <v>337</v>
      </c>
      <c r="D26" s="303"/>
      <c r="E26" s="303"/>
      <c r="F26" s="303"/>
      <c r="G26" s="303"/>
      <c r="H26" s="303"/>
      <c r="I26" s="303"/>
      <c r="J26" s="303"/>
      <c r="K26" s="303"/>
      <c r="L26" s="303"/>
      <c r="M26" s="1"/>
      <c r="N26" s="1"/>
    </row>
    <row r="27" spans="1:14" x14ac:dyDescent="0.25">
      <c r="A27" s="1"/>
      <c r="B27" s="1"/>
      <c r="C27" s="1"/>
      <c r="D27" s="1"/>
      <c r="E27" s="1"/>
      <c r="F27" s="1"/>
      <c r="G27" s="1"/>
      <c r="H27" s="1"/>
      <c r="I27" s="1"/>
      <c r="J27" s="1"/>
      <c r="K27" s="1"/>
      <c r="L27" s="1"/>
      <c r="M27" s="1"/>
      <c r="N27" s="1"/>
    </row>
    <row r="28" spans="1:14" x14ac:dyDescent="0.25">
      <c r="A28" s="1"/>
      <c r="B28" s="1"/>
      <c r="C28" s="1"/>
      <c r="D28" s="1"/>
      <c r="E28" s="1"/>
      <c r="F28" s="1"/>
      <c r="G28" s="1"/>
      <c r="H28" s="1"/>
      <c r="I28" s="1"/>
      <c r="J28" s="1"/>
      <c r="K28" s="1"/>
      <c r="L28" s="1"/>
      <c r="M28" s="1"/>
      <c r="N28" s="1"/>
    </row>
  </sheetData>
  <mergeCells count="9">
    <mergeCell ref="C24:L24"/>
    <mergeCell ref="C26:L26"/>
    <mergeCell ref="C8:L18"/>
    <mergeCell ref="C20:L20"/>
    <mergeCell ref="B3:M6"/>
    <mergeCell ref="B21:D22"/>
    <mergeCell ref="E21:G22"/>
    <mergeCell ref="H21:J22"/>
    <mergeCell ref="K21:M22"/>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47"/>
  <sheetViews>
    <sheetView topLeftCell="A13" workbookViewId="0">
      <selection activeCell="D25" sqref="D25"/>
    </sheetView>
  </sheetViews>
  <sheetFormatPr defaultRowHeight="15" x14ac:dyDescent="0.25"/>
  <cols>
    <col min="3" max="3" width="24.140625" customWidth="1"/>
    <col min="4" max="4" width="14.28515625" style="2" customWidth="1"/>
    <col min="5" max="5" width="14.5703125" style="60" customWidth="1"/>
    <col min="6" max="6" width="14.140625" style="2" customWidth="1"/>
    <col min="7" max="7" width="23.42578125" customWidth="1"/>
    <col min="8" max="9" width="0" hidden="1" customWidth="1"/>
    <col min="10" max="10" width="13" customWidth="1"/>
    <col min="11" max="11" width="14.5703125" customWidth="1"/>
    <col min="16" max="16" width="12.85546875" customWidth="1"/>
    <col min="18" max="18" width="20.28515625" customWidth="1"/>
    <col min="19" max="19" width="28" customWidth="1"/>
    <col min="23" max="23" width="9.140625" style="64"/>
    <col min="24" max="25" width="12.7109375" style="84" bestFit="1" customWidth="1"/>
    <col min="29" max="29" width="25.28515625" customWidth="1"/>
    <col min="30" max="30" width="9.5703125" customWidth="1"/>
    <col min="31" max="31" width="10.28515625" style="83" bestFit="1" customWidth="1"/>
    <col min="32" max="32" width="11.5703125" style="83" bestFit="1" customWidth="1"/>
    <col min="33" max="33" width="15.7109375" customWidth="1"/>
    <col min="36" max="36" width="39.42578125" bestFit="1" customWidth="1"/>
    <col min="37" max="37" width="9.140625" style="83"/>
    <col min="38" max="38" width="9.7109375" style="83" bestFit="1" customWidth="1"/>
    <col min="39" max="39" width="9.7109375" style="83" customWidth="1"/>
    <col min="40" max="41" width="9.140625" style="83"/>
  </cols>
  <sheetData>
    <row r="1" spans="1:48" x14ac:dyDescent="0.25">
      <c r="A1" s="1"/>
      <c r="B1" s="1"/>
      <c r="C1" s="1"/>
      <c r="D1" s="66"/>
      <c r="E1" s="65"/>
      <c r="F1" s="66"/>
      <c r="G1" s="1"/>
      <c r="H1" s="1"/>
      <c r="J1" s="1"/>
    </row>
    <row r="2" spans="1:48" x14ac:dyDescent="0.25">
      <c r="A2" s="1"/>
      <c r="B2" s="1"/>
      <c r="C2" s="1"/>
      <c r="D2" s="66"/>
      <c r="E2" s="65"/>
      <c r="F2" s="66"/>
      <c r="G2" s="1"/>
      <c r="H2" s="1"/>
      <c r="J2" s="1"/>
      <c r="R2" s="458" t="s">
        <v>209</v>
      </c>
      <c r="S2" s="458"/>
      <c r="T2" s="458"/>
      <c r="U2" s="458"/>
      <c r="V2" s="458"/>
      <c r="W2" s="458"/>
      <c r="X2" s="458"/>
      <c r="Y2" s="458"/>
      <c r="AB2" s="458" t="s">
        <v>234</v>
      </c>
      <c r="AC2" s="458"/>
      <c r="AD2" s="458"/>
      <c r="AE2" s="458"/>
      <c r="AF2" s="458"/>
      <c r="AH2" s="458" t="s">
        <v>244</v>
      </c>
      <c r="AI2" s="458"/>
      <c r="AJ2" s="458"/>
      <c r="AK2" s="458"/>
      <c r="AL2" s="458"/>
      <c r="AM2" s="458"/>
      <c r="AN2" s="458"/>
      <c r="AO2" s="458"/>
      <c r="AR2" s="458" t="s">
        <v>254</v>
      </c>
      <c r="AS2" s="458"/>
      <c r="AT2" s="458"/>
      <c r="AU2" s="458"/>
      <c r="AV2" s="458"/>
    </row>
    <row r="3" spans="1:48" x14ac:dyDescent="0.25">
      <c r="A3" s="1"/>
      <c r="B3" s="1"/>
      <c r="C3" s="1"/>
      <c r="D3" s="66"/>
      <c r="E3" s="65"/>
      <c r="F3" s="66"/>
      <c r="G3" s="1"/>
      <c r="H3" s="1"/>
      <c r="J3" s="1"/>
      <c r="K3" s="458" t="s">
        <v>217</v>
      </c>
      <c r="L3" s="458"/>
      <c r="P3" t="s">
        <v>223</v>
      </c>
      <c r="R3" s="2" t="s">
        <v>224</v>
      </c>
      <c r="S3" s="64" t="s">
        <v>239</v>
      </c>
      <c r="X3" s="84" t="s">
        <v>226</v>
      </c>
      <c r="Y3" s="84" t="s">
        <v>225</v>
      </c>
      <c r="AB3" t="s">
        <v>236</v>
      </c>
      <c r="AC3" s="64"/>
      <c r="AE3" s="83" t="s">
        <v>236</v>
      </c>
      <c r="AF3" s="83" t="s">
        <v>238</v>
      </c>
      <c r="AH3" t="s">
        <v>237</v>
      </c>
      <c r="AK3" s="83" t="s">
        <v>242</v>
      </c>
      <c r="AL3" s="83" t="s">
        <v>243</v>
      </c>
      <c r="AN3" s="83" t="s">
        <v>240</v>
      </c>
      <c r="AO3" s="83" t="s">
        <v>241</v>
      </c>
      <c r="AU3" t="s">
        <v>240</v>
      </c>
      <c r="AV3" t="s">
        <v>241</v>
      </c>
    </row>
    <row r="4" spans="1:48" x14ac:dyDescent="0.25">
      <c r="A4" s="1"/>
      <c r="B4" s="1"/>
      <c r="C4" s="1"/>
      <c r="D4" s="66"/>
      <c r="E4" s="65"/>
      <c r="F4" s="66"/>
      <c r="G4" s="1"/>
      <c r="H4" s="1"/>
      <c r="J4" s="1"/>
      <c r="P4">
        <v>10</v>
      </c>
      <c r="R4" t="str">
        <f t="shared" ref="R4:R40" si="0">IMDIV(COMPLEX(($E$43*$F$38),-$E$43/($F$37*P4)),COMPLEX(($E$43+$F$38),-1/($F$37*P4)))</f>
        <v>1.85061596031741-0.120957139406229i</v>
      </c>
      <c r="S4" t="str">
        <f>IMPRODUCT(R4,$D$12)</f>
        <v>7.21160410927196-0.471353874759693i</v>
      </c>
      <c r="U4">
        <f>IMREAL(S4)</f>
        <v>7.2116041092719598</v>
      </c>
      <c r="V4">
        <f>IMAGINARY(S4)</f>
        <v>-0.47135387475969298</v>
      </c>
      <c r="W4" s="64">
        <f>P4</f>
        <v>10</v>
      </c>
      <c r="X4" s="84">
        <f t="shared" ref="X4:X40" si="1">20*LOG(SQRT(SUMSQ(U4,V4)))</f>
        <v>17.179151058348573</v>
      </c>
      <c r="Y4" s="84">
        <f t="shared" ref="Y4:Y40" si="2">DEGREES(ATAN(V4/U4))</f>
        <v>-3.7395603307106189</v>
      </c>
      <c r="AB4" t="str">
        <f>IMDIV(COMPLEX($F$31,-1/(6.28*$F$30*W4)),COMPLEX(-$F$28,0))</f>
        <v>-0.00221238938053097+74.9555963047491i</v>
      </c>
      <c r="AD4">
        <f>W4</f>
        <v>10</v>
      </c>
      <c r="AE4" s="83">
        <f>20*LOG(SQRT(SUMSQ(IMREAL(AB4),IMAGINARY(AB4))))</f>
        <v>37.496081274097634</v>
      </c>
      <c r="AF4" s="83">
        <f>DEGREES(ATAN(IMAGINARY(AB4)/IMREAL(AB4)))+180</f>
        <v>90.001691142227614</v>
      </c>
      <c r="AH4" t="str">
        <f>IMSUB(AB4,1)</f>
        <v>-1.00221238938053+74.9555963047491i</v>
      </c>
      <c r="AI4" t="str">
        <f>IMPRODUCT(AH4,$D$6,AJ4,$H$24)</f>
        <v>-7.48863433863409+624.627822946986i</v>
      </c>
      <c r="AJ4" t="str">
        <f t="shared" ref="AJ4:AJ9" si="3">IMDIV(COMPLEX(0,-$L$17/(6.28*AD4*($D$20+$D$9)*0.000000001)),COMPLEX($L$17,-1/(6.28*AD4*($D$20+$D$9)*0.000000001)))</f>
        <v>19999.561833992-27.6308420130031i</v>
      </c>
      <c r="AK4" s="83">
        <f>IMREAL(AI4)</f>
        <v>-7.4886343386340899</v>
      </c>
      <c r="AL4" s="83">
        <f t="shared" ref="AL4:AL40" si="4">IMAGINARY(AI4)</f>
        <v>624.62782294698604</v>
      </c>
      <c r="AM4" s="83">
        <f>AT4</f>
        <v>10</v>
      </c>
      <c r="AN4" s="83">
        <f t="shared" ref="AN4:AN40" si="5">20*LOG(SQRT(SUMSQ(AK4,AL4)))</f>
        <v>55.913050692577912</v>
      </c>
      <c r="AO4" s="83">
        <f t="shared" ref="AO4:AO40" si="6">DEGREES(ATAN(AL4/AK4))</f>
        <v>-89.313116434128858</v>
      </c>
      <c r="AR4" t="str">
        <f t="shared" ref="AR4:AR40" si="7">IMPRODUCT(S4,AI4)</f>
        <v>240.415678459445+4508.09837154226i</v>
      </c>
      <c r="AT4">
        <f t="shared" ref="AT4:AT40" si="8">AD4</f>
        <v>10</v>
      </c>
      <c r="AU4">
        <f>20*LOG(SQRT(SUMSQ(IMREAL(AR4),IMAGINARY(AR4))))</f>
        <v>73.092201750926492</v>
      </c>
      <c r="AV4">
        <f>DEGREES(ATAN(IMAGINARY(AR4)/IMREAL(AR4)))</f>
        <v>86.947323235160525</v>
      </c>
    </row>
    <row r="5" spans="1:48" ht="31.5" x14ac:dyDescent="0.25">
      <c r="A5" s="1"/>
      <c r="B5" s="1"/>
      <c r="C5" s="459" t="s">
        <v>207</v>
      </c>
      <c r="D5" s="459"/>
      <c r="E5" s="459"/>
      <c r="F5" s="459"/>
      <c r="G5" s="1"/>
      <c r="I5" s="58"/>
      <c r="J5" s="1"/>
      <c r="K5" t="s">
        <v>211</v>
      </c>
      <c r="L5">
        <v>0.3</v>
      </c>
      <c r="P5">
        <f>P4+10</f>
        <v>20</v>
      </c>
      <c r="R5" t="str">
        <f t="shared" si="0"/>
        <v>1.82711439624459-0.238817230126794i</v>
      </c>
      <c r="S5" t="str">
        <f t="shared" ref="S5:S40" si="9">IMPRODUCT(R5,$D$12)</f>
        <v>7.12002164177135-0.93063896296017i</v>
      </c>
      <c r="U5">
        <f t="shared" ref="U5:U40" si="10">IMREAL(S5)</f>
        <v>7.1200216417713502</v>
      </c>
      <c r="V5">
        <f t="shared" ref="V5:V40" si="11">IMAGINARY(S5)</f>
        <v>-0.93063896296017001</v>
      </c>
      <c r="W5" s="64">
        <f t="shared" ref="W5:W40" si="12">P5</f>
        <v>20</v>
      </c>
      <c r="X5" s="84">
        <f t="shared" si="1"/>
        <v>17.123196223258073</v>
      </c>
      <c r="Y5" s="84">
        <f t="shared" si="2"/>
        <v>-7.4467615800853038</v>
      </c>
      <c r="AB5" t="str">
        <f t="shared" ref="AB5:AB40" si="13">IMDIV(COMPLEX($F$31,-1/(6.28*$F$30*W5)),-$F$28)</f>
        <v>-0.00221238938053097+37.4777981523746i</v>
      </c>
      <c r="AD5">
        <f t="shared" ref="AD5:AD40" si="14">W5</f>
        <v>20</v>
      </c>
      <c r="AE5" s="83">
        <f t="shared" ref="AE5:AE40" si="15">20*LOG(SQRT(SUMSQ(IMREAL(AB5),IMAGINARY(AB5))))</f>
        <v>31.475481372168673</v>
      </c>
      <c r="AF5" s="83">
        <f t="shared" ref="AF5:AF40" si="16">DEGREES(ATAN(IMAGINARY(AB5)/IMREAL(AB5)))+180</f>
        <v>90.003382284452286</v>
      </c>
      <c r="AH5" t="str">
        <f t="shared" ref="AH5:AH40" si="17">IMSUB(AB5,1)</f>
        <v>-1.00221238938053+37.4777981523746i</v>
      </c>
      <c r="AI5" t="str">
        <f t="shared" ref="AI5:AI40" si="18">IMPRODUCT(AH5,$D$6,AJ5,$H$24)</f>
        <v>-7.48859145734411+312.329430490426i</v>
      </c>
      <c r="AJ5" t="str">
        <f t="shared" si="3"/>
        <v>19999.4473128428-55.2613675874955i</v>
      </c>
      <c r="AK5" s="83">
        <f t="shared" ref="AK5:AK40" si="19">IMREAL(AI5)</f>
        <v>-7.4885914573441097</v>
      </c>
      <c r="AL5" s="83">
        <f t="shared" si="4"/>
        <v>312.32943049042598</v>
      </c>
      <c r="AM5" s="83">
        <f t="shared" ref="AM5:AM40" si="20">AT5</f>
        <v>20</v>
      </c>
      <c r="AN5" s="83">
        <f t="shared" si="5"/>
        <v>49.894754124871127</v>
      </c>
      <c r="AO5" s="83">
        <f t="shared" si="6"/>
        <v>-88.626506336717071</v>
      </c>
      <c r="AR5" t="str">
        <f t="shared" si="7"/>
        <v>237.347004050876+2230.76147944185i</v>
      </c>
      <c r="AT5">
        <f t="shared" si="8"/>
        <v>20</v>
      </c>
      <c r="AU5">
        <f t="shared" ref="AU5:AU40" si="21">20*LOG(SQRT(SUMSQ(IMREAL(AR5),IMAGINARY(AR5))))</f>
        <v>67.017950348129204</v>
      </c>
      <c r="AV5">
        <f t="shared" ref="AV5:AV40" si="22">DEGREES(ATAN(IMAGINARY(AR5)/IMREAL(AR5)))</f>
        <v>83.926732083197663</v>
      </c>
    </row>
    <row r="6" spans="1:48" ht="21" x14ac:dyDescent="0.35">
      <c r="A6" s="1"/>
      <c r="B6" s="1"/>
      <c r="C6" s="85" t="s">
        <v>204</v>
      </c>
      <c r="D6" s="86">
        <f>'Step 5 - Loop Stability'!D6</f>
        <v>0.5</v>
      </c>
      <c r="E6" s="81"/>
      <c r="F6" s="37"/>
      <c r="G6" s="1"/>
      <c r="J6" s="111"/>
      <c r="P6">
        <f t="shared" ref="P6:P12" si="23">P5+10</f>
        <v>30</v>
      </c>
      <c r="R6" t="str">
        <f t="shared" si="0"/>
        <v>1.78925440019228-0.350742029390751i</v>
      </c>
      <c r="S6" t="str">
        <f t="shared" si="9"/>
        <v>6.97248627572975-1.36679501024885i</v>
      </c>
      <c r="U6">
        <f t="shared" si="10"/>
        <v>6.9724862757297501</v>
      </c>
      <c r="V6">
        <f t="shared" si="11"/>
        <v>-1.36679501024885</v>
      </c>
      <c r="W6" s="64">
        <f t="shared" si="12"/>
        <v>30</v>
      </c>
      <c r="X6" s="84">
        <f t="shared" si="1"/>
        <v>17.031511210560403</v>
      </c>
      <c r="Y6" s="84">
        <f t="shared" si="2"/>
        <v>-11.090880876656113</v>
      </c>
      <c r="AB6" t="str">
        <f t="shared" si="13"/>
        <v>-0.00221238938053097+24.9851987682498i</v>
      </c>
      <c r="AD6">
        <f t="shared" si="14"/>
        <v>30</v>
      </c>
      <c r="AE6" s="83">
        <f t="shared" si="15"/>
        <v>27.953656209972809</v>
      </c>
      <c r="AF6" s="83">
        <f t="shared" si="16"/>
        <v>90.005073426671061</v>
      </c>
      <c r="AH6" t="str">
        <f t="shared" si="17"/>
        <v>-1.00221238938053+24.9851987682498i</v>
      </c>
      <c r="AI6" t="str">
        <f t="shared" si="18"/>
        <v>-7.48851998961883+208.2368634158i</v>
      </c>
      <c r="AJ6" t="str">
        <f t="shared" si="3"/>
        <v>19999.2564471754-82.8912602970463i</v>
      </c>
      <c r="AK6" s="83">
        <f t="shared" si="19"/>
        <v>-7.4885199896188297</v>
      </c>
      <c r="AL6" s="83">
        <f t="shared" si="4"/>
        <v>208.2368634158</v>
      </c>
      <c r="AM6" s="83">
        <f t="shared" si="20"/>
        <v>30</v>
      </c>
      <c r="AN6" s="83">
        <f t="shared" si="5"/>
        <v>46.376765081874879</v>
      </c>
      <c r="AO6" s="83">
        <f t="shared" si="6"/>
        <v>-87.940442589638536</v>
      </c>
      <c r="AR6" t="str">
        <f t="shared" si="7"/>
        <v>232.403503013442+1462.16394402364i</v>
      </c>
      <c r="AT6">
        <f t="shared" si="8"/>
        <v>30</v>
      </c>
      <c r="AU6">
        <f t="shared" si="21"/>
        <v>63.408276292435303</v>
      </c>
      <c r="AV6">
        <f t="shared" si="22"/>
        <v>80.968676533705363</v>
      </c>
    </row>
    <row r="7" spans="1:48" ht="21" x14ac:dyDescent="0.35">
      <c r="A7" s="1"/>
      <c r="B7" s="1"/>
      <c r="C7" s="85" t="s">
        <v>221</v>
      </c>
      <c r="D7" s="86">
        <f>'Step 5 - Loop Stability'!D50</f>
        <v>1</v>
      </c>
      <c r="E7" s="81" t="s">
        <v>35</v>
      </c>
      <c r="F7" s="37"/>
      <c r="G7" s="1"/>
      <c r="J7" s="1"/>
      <c r="K7" t="s">
        <v>212</v>
      </c>
      <c r="L7">
        <f>'Step 1 - Device Parameters'!N8</f>
        <v>0</v>
      </c>
      <c r="P7">
        <f t="shared" si="23"/>
        <v>40</v>
      </c>
      <c r="R7" t="str">
        <f t="shared" si="0"/>
        <v>1.73883246399199-0.454366779736342i</v>
      </c>
      <c r="S7" t="str">
        <f t="shared" si="9"/>
        <v>6.77599870072954-1.77060687150956i</v>
      </c>
      <c r="U7">
        <f t="shared" si="10"/>
        <v>6.7759987007295397</v>
      </c>
      <c r="V7">
        <f t="shared" si="11"/>
        <v>-1.77060687150956</v>
      </c>
      <c r="W7" s="64">
        <f t="shared" si="12"/>
        <v>40</v>
      </c>
      <c r="X7" s="84">
        <f t="shared" si="1"/>
        <v>16.906319911027662</v>
      </c>
      <c r="Y7" s="84">
        <f t="shared" si="2"/>
        <v>-14.644266298917133</v>
      </c>
      <c r="AB7" t="str">
        <f t="shared" si="13"/>
        <v>-0.00221238938053097+18.7388990761873i</v>
      </c>
      <c r="AD7">
        <f t="shared" si="14"/>
        <v>40</v>
      </c>
      <c r="AE7" s="83">
        <f t="shared" si="15"/>
        <v>25.454881504291631</v>
      </c>
      <c r="AF7" s="83">
        <f t="shared" si="16"/>
        <v>90.006764568880996</v>
      </c>
      <c r="AH7" t="str">
        <f t="shared" si="17"/>
        <v>-1.00221238938053+18.7388990761873i</v>
      </c>
      <c r="AI7" t="str">
        <f t="shared" si="18"/>
        <v>-7.48841993709506+156.195752390453i</v>
      </c>
      <c r="AJ7" t="str">
        <f t="shared" si="3"/>
        <v>19998.9892413612-110.520203739384i</v>
      </c>
      <c r="AK7" s="83">
        <f t="shared" si="19"/>
        <v>-7.4884199370950597</v>
      </c>
      <c r="AL7" s="83">
        <f t="shared" si="4"/>
        <v>156.19575239045301</v>
      </c>
      <c r="AM7" s="83">
        <f t="shared" si="20"/>
        <v>40</v>
      </c>
      <c r="AN7" s="83">
        <f t="shared" si="5"/>
        <v>43.883355133995032</v>
      </c>
      <c r="AO7" s="83">
        <f t="shared" si="6"/>
        <v>-87.255196904734845</v>
      </c>
      <c r="AR7" t="str">
        <f t="shared" si="7"/>
        <v>225.819748718869+1071.64126305455i</v>
      </c>
      <c r="AT7">
        <f t="shared" si="8"/>
        <v>40</v>
      </c>
      <c r="AU7">
        <f t="shared" si="21"/>
        <v>60.789675045022676</v>
      </c>
      <c r="AV7">
        <f t="shared" si="22"/>
        <v>78.100536796347996</v>
      </c>
    </row>
    <row r="8" spans="1:48" ht="21" x14ac:dyDescent="0.35">
      <c r="A8" s="1"/>
      <c r="B8" s="1"/>
      <c r="C8" s="85" t="s">
        <v>208</v>
      </c>
      <c r="D8" s="86">
        <f>'Step 5 - Loop Stability'!D51</f>
        <v>0.3</v>
      </c>
      <c r="E8" s="81" t="s">
        <v>35</v>
      </c>
      <c r="F8" s="37"/>
      <c r="G8" s="1"/>
      <c r="J8" s="1"/>
      <c r="K8" t="s">
        <v>214</v>
      </c>
      <c r="L8">
        <f>'Step 1 - Device Parameters'!K8</f>
        <v>20</v>
      </c>
      <c r="P8">
        <f t="shared" si="23"/>
        <v>50</v>
      </c>
      <c r="R8" t="str">
        <f t="shared" si="0"/>
        <v>1.67806659642901-0.547939078335129i</v>
      </c>
      <c r="S8" t="str">
        <f t="shared" si="9"/>
        <v>6.53920220182466-2.13524566613732i</v>
      </c>
      <c r="U8">
        <f t="shared" si="10"/>
        <v>6.5392022018246596</v>
      </c>
      <c r="V8">
        <f t="shared" si="11"/>
        <v>-2.1352456661373198</v>
      </c>
      <c r="W8" s="64">
        <f t="shared" si="12"/>
        <v>50</v>
      </c>
      <c r="X8" s="84">
        <f t="shared" si="1"/>
        <v>16.750487695077972</v>
      </c>
      <c r="Y8" s="84">
        <f t="shared" si="2"/>
        <v>-18.083413455611428</v>
      </c>
      <c r="AB8" t="str">
        <f t="shared" si="13"/>
        <v>-0.00221238938053097+14.9911192609498i</v>
      </c>
      <c r="AD8">
        <f t="shared" si="14"/>
        <v>50</v>
      </c>
      <c r="AE8" s="83">
        <f t="shared" si="15"/>
        <v>23.516681278182414</v>
      </c>
      <c r="AF8" s="83">
        <f t="shared" si="16"/>
        <v>90.008455711079151</v>
      </c>
      <c r="AH8" t="str">
        <f t="shared" si="17"/>
        <v>-1.00221238938053+14.9911192609498i</v>
      </c>
      <c r="AI8" t="str">
        <f t="shared" si="18"/>
        <v>-7.48829130206439+124.975223453094i</v>
      </c>
      <c r="AJ8" t="str">
        <f t="shared" si="3"/>
        <v>19998.6457015202-138.14788154847i</v>
      </c>
      <c r="AK8" s="83">
        <f t="shared" si="19"/>
        <v>-7.4882913020643898</v>
      </c>
      <c r="AL8" s="83">
        <f t="shared" si="4"/>
        <v>124.975223453094</v>
      </c>
      <c r="AM8" s="83">
        <f t="shared" si="20"/>
        <v>50</v>
      </c>
      <c r="AN8" s="83">
        <f t="shared" si="5"/>
        <v>41.952042520044543</v>
      </c>
      <c r="AO8" s="83">
        <f t="shared" si="6"/>
        <v>-86.571039246614291</v>
      </c>
      <c r="AR8" t="str">
        <f t="shared" si="7"/>
        <v>217.885353282398+833.227597927508i</v>
      </c>
      <c r="AT8">
        <f t="shared" si="8"/>
        <v>50</v>
      </c>
      <c r="AU8">
        <f t="shared" si="21"/>
        <v>58.702530215122515</v>
      </c>
      <c r="AV8">
        <f t="shared" si="22"/>
        <v>75.345547297774303</v>
      </c>
    </row>
    <row r="9" spans="1:48" ht="42" x14ac:dyDescent="0.35">
      <c r="A9" s="1"/>
      <c r="B9" s="1"/>
      <c r="C9" s="87" t="s">
        <v>255</v>
      </c>
      <c r="D9" s="86">
        <f>'Step 5 - Loop Stability'!D7</f>
        <v>1</v>
      </c>
      <c r="E9" s="99" t="s">
        <v>72</v>
      </c>
      <c r="F9" s="460" t="s">
        <v>279</v>
      </c>
      <c r="G9" s="461"/>
      <c r="J9" s="1"/>
      <c r="K9" t="s">
        <v>210</v>
      </c>
      <c r="L9">
        <v>5</v>
      </c>
      <c r="P9">
        <f t="shared" si="23"/>
        <v>60</v>
      </c>
      <c r="R9" t="str">
        <f t="shared" si="0"/>
        <v>1.6093743713376-0.630369999493903i</v>
      </c>
      <c r="S9" t="str">
        <f t="shared" si="9"/>
        <v>6.27151774250589-2.4564679956247i</v>
      </c>
      <c r="U9">
        <f t="shared" si="10"/>
        <v>6.2715177425058899</v>
      </c>
      <c r="V9">
        <f t="shared" si="11"/>
        <v>-2.4564679956247</v>
      </c>
      <c r="W9" s="64">
        <f t="shared" si="12"/>
        <v>60</v>
      </c>
      <c r="X9" s="84">
        <f t="shared" si="1"/>
        <v>16.567321140372847</v>
      </c>
      <c r="Y9" s="84">
        <f t="shared" si="2"/>
        <v>-21.389601408061328</v>
      </c>
      <c r="AB9" t="str">
        <f t="shared" si="13"/>
        <v>-0.00221238938053097+12.4925993841248i</v>
      </c>
      <c r="AD9">
        <f t="shared" si="14"/>
        <v>60</v>
      </c>
      <c r="AE9" s="83">
        <f t="shared" si="15"/>
        <v>21.933056398848933</v>
      </c>
      <c r="AF9" s="83">
        <f t="shared" si="16"/>
        <v>90.010146853262555</v>
      </c>
      <c r="AH9" t="str">
        <f t="shared" si="17"/>
        <v>-1.00221238938053+12.4925993841248i</v>
      </c>
      <c r="AI9" t="str">
        <f t="shared" si="18"/>
        <v>-7.48813408747279+104.164985204334i</v>
      </c>
      <c r="AJ9" t="str">
        <f t="shared" si="3"/>
        <v>19998.2258355201-165.773977406579i</v>
      </c>
      <c r="AK9" s="83">
        <f t="shared" si="19"/>
        <v>-7.4881340874727904</v>
      </c>
      <c r="AL9" s="83">
        <f t="shared" si="4"/>
        <v>104.164985204334</v>
      </c>
      <c r="AM9" s="83">
        <f t="shared" si="20"/>
        <v>60</v>
      </c>
      <c r="AN9" s="83">
        <f t="shared" si="5"/>
        <v>40.376820705609695</v>
      </c>
      <c r="AO9" s="83">
        <f t="shared" si="6"/>
        <v>-85.888237264742003</v>
      </c>
      <c r="AR9" t="str">
        <f t="shared" si="7"/>
        <v>208.915986631318+671.666914589667i</v>
      </c>
      <c r="AT9">
        <f t="shared" si="8"/>
        <v>60</v>
      </c>
      <c r="AU9">
        <f t="shared" si="21"/>
        <v>56.944141845982529</v>
      </c>
      <c r="AV9">
        <f t="shared" si="22"/>
        <v>72.722161327196659</v>
      </c>
    </row>
    <row r="10" spans="1:48" ht="20.25" customHeight="1" x14ac:dyDescent="0.25">
      <c r="A10" s="1"/>
      <c r="B10" s="1"/>
      <c r="C10" s="94"/>
      <c r="D10" s="95"/>
      <c r="E10" s="96"/>
      <c r="F10" s="95"/>
      <c r="G10" s="1"/>
      <c r="H10" s="1"/>
      <c r="J10" s="1"/>
      <c r="P10">
        <f t="shared" si="23"/>
        <v>70</v>
      </c>
      <c r="R10" t="str">
        <f t="shared" si="0"/>
        <v>1.53516768238126-0.701205175989977i</v>
      </c>
      <c r="S10" t="str">
        <f t="shared" si="9"/>
        <v>5.98234415139452-2.73250325137408i</v>
      </c>
      <c r="U10">
        <f t="shared" si="10"/>
        <v>5.9823441513945204</v>
      </c>
      <c r="V10">
        <f t="shared" si="11"/>
        <v>-2.7325032513740801</v>
      </c>
      <c r="W10" s="64">
        <f t="shared" si="12"/>
        <v>70</v>
      </c>
      <c r="X10" s="84">
        <f t="shared" si="1"/>
        <v>16.360364726260791</v>
      </c>
      <c r="Y10" s="84">
        <f t="shared" si="2"/>
        <v>-24.549085693977009</v>
      </c>
      <c r="AB10" t="str">
        <f t="shared" si="13"/>
        <v>-0.00221238938053097+10.7079423292499i</v>
      </c>
      <c r="AD10">
        <f t="shared" si="14"/>
        <v>70</v>
      </c>
      <c r="AE10" s="83">
        <f t="shared" si="15"/>
        <v>20.594120655422856</v>
      </c>
      <c r="AF10" s="83">
        <f t="shared" si="16"/>
        <v>90.011837995428294</v>
      </c>
      <c r="AH10" t="str">
        <f t="shared" si="17"/>
        <v>-1.00221238938053+10.7079423292499i</v>
      </c>
      <c r="AI10" t="str">
        <f t="shared" si="18"/>
        <v>-7.48794829692065+89.3034841196358i</v>
      </c>
      <c r="AJ10" t="str">
        <f>IMDIV(COMPLEX(0,-$L$17/(6.28*AD10*($D$20+$D$9)*0.000000001)),COMPLEX($L$17,-1/(6.28*AD10*($D$20+$D$9)*0.000000001)))</f>
        <v>19997.7296529763-193.398175056362i</v>
      </c>
      <c r="AK10" s="83">
        <f t="shared" si="19"/>
        <v>-7.4879482969206501</v>
      </c>
      <c r="AL10" s="83">
        <f t="shared" si="4"/>
        <v>89.303484119635797</v>
      </c>
      <c r="AM10" s="83">
        <f t="shared" si="20"/>
        <v>70</v>
      </c>
      <c r="AN10" s="83">
        <f t="shared" si="5"/>
        <v>39.047794486921873</v>
      </c>
      <c r="AO10" s="83">
        <f t="shared" si="6"/>
        <v>-85.207055737774425</v>
      </c>
      <c r="AR10" t="str">
        <f t="shared" si="7"/>
        <v>199.226577015911+554.705018989713i</v>
      </c>
      <c r="AT10">
        <f t="shared" si="8"/>
        <v>70</v>
      </c>
      <c r="AU10">
        <f t="shared" si="21"/>
        <v>55.408159213182664</v>
      </c>
      <c r="AV10">
        <f t="shared" si="22"/>
        <v>70.243858568248513</v>
      </c>
    </row>
    <row r="11" spans="1:48" ht="31.5" x14ac:dyDescent="0.25">
      <c r="A11" s="1"/>
      <c r="B11" s="1"/>
      <c r="C11" s="462" t="s">
        <v>209</v>
      </c>
      <c r="D11" s="462"/>
      <c r="E11" s="462"/>
      <c r="F11" s="462"/>
      <c r="G11" s="1"/>
      <c r="J11" s="1"/>
      <c r="P11">
        <f t="shared" si="23"/>
        <v>80</v>
      </c>
      <c r="R11" t="str">
        <f t="shared" si="0"/>
        <v>1.45768991607768-0.760537098027834i</v>
      </c>
      <c r="S11" t="str">
        <f t="shared" si="9"/>
        <v>5.68042360719026-2.96371185540331i</v>
      </c>
      <c r="U11">
        <f t="shared" si="10"/>
        <v>5.6804236071902601</v>
      </c>
      <c r="V11">
        <f t="shared" si="11"/>
        <v>-2.9637118554033099</v>
      </c>
      <c r="W11" s="64">
        <f t="shared" si="12"/>
        <v>80</v>
      </c>
      <c r="X11" s="84">
        <f t="shared" si="1"/>
        <v>16.133216284647101</v>
      </c>
      <c r="Y11" s="84">
        <f t="shared" si="2"/>
        <v>-27.55291133174558</v>
      </c>
      <c r="AB11" t="str">
        <f t="shared" si="13"/>
        <v>-0.00221238938053097+9.36944953809363i</v>
      </c>
      <c r="AD11">
        <f t="shared" si="14"/>
        <v>80</v>
      </c>
      <c r="AE11" s="83">
        <f t="shared" si="15"/>
        <v>19.434281772622313</v>
      </c>
      <c r="AF11" s="83">
        <f t="shared" si="16"/>
        <v>90.013529137573414</v>
      </c>
      <c r="AH11" t="str">
        <f t="shared" si="17"/>
        <v>-1.00221238938053+9.36944953809363i</v>
      </c>
      <c r="AI11" t="str">
        <f t="shared" si="18"/>
        <v>-7.48773393466235+78.1599433775454i</v>
      </c>
      <c r="AJ11" t="str">
        <f t="shared" ref="AJ11:AJ40" si="24">IMDIV(COMPLEX(0,-$L$17/(6.28*AD11*($D$20+$D$9)*0.000000001)),COMPLEX($L$17,-1/(6.28*AD11*($D$20+$D$9)*0.000000001)))</f>
        <v>19997.1571652508-221.020158312918i</v>
      </c>
      <c r="AK11" s="83">
        <f t="shared" si="19"/>
        <v>-7.4877339346623497</v>
      </c>
      <c r="AL11" s="83">
        <f t="shared" si="4"/>
        <v>78.159943377545403</v>
      </c>
      <c r="AM11" s="83">
        <f t="shared" si="20"/>
        <v>80</v>
      </c>
      <c r="AN11" s="83">
        <f t="shared" si="5"/>
        <v>37.899361036007797</v>
      </c>
      <c r="AO11" s="83">
        <f t="shared" si="6"/>
        <v>-84.527756032971027</v>
      </c>
      <c r="AR11" t="str">
        <f t="shared" si="7"/>
        <v>189.110050198867+466.173073330727i</v>
      </c>
      <c r="AT11">
        <f t="shared" si="8"/>
        <v>80</v>
      </c>
      <c r="AU11">
        <f t="shared" si="21"/>
        <v>54.032577320654894</v>
      </c>
      <c r="AV11">
        <f t="shared" si="22"/>
        <v>67.919332635283396</v>
      </c>
    </row>
    <row r="12" spans="1:48" ht="21" x14ac:dyDescent="0.35">
      <c r="A12" s="1"/>
      <c r="B12" s="1"/>
      <c r="C12" s="85" t="s">
        <v>231</v>
      </c>
      <c r="D12" s="80">
        <f>'Step 2 - Operating Conditions'!G50*(1-'Step 2 - Operating Conditions'!C33)/(2*L22*'Step 3 - Component Selection'!D7)</f>
        <v>3.8968669156160596</v>
      </c>
      <c r="E12" s="81" t="s">
        <v>228</v>
      </c>
      <c r="F12" s="37"/>
      <c r="G12" s="1"/>
      <c r="J12" s="1"/>
      <c r="P12">
        <f t="shared" si="23"/>
        <v>90</v>
      </c>
      <c r="R12" t="str">
        <f t="shared" si="0"/>
        <v>1.37890701798486-0.808884999231371i</v>
      </c>
      <c r="S12" t="str">
        <f t="shared" si="9"/>
        <v>5.373417138096-3.15211719204285i</v>
      </c>
      <c r="U12">
        <f t="shared" si="10"/>
        <v>5.3734171380960003</v>
      </c>
      <c r="V12">
        <f t="shared" si="11"/>
        <v>-3.1521171920428501</v>
      </c>
      <c r="W12" s="64">
        <f t="shared" si="12"/>
        <v>90</v>
      </c>
      <c r="X12" s="84">
        <f t="shared" si="1"/>
        <v>15.889375387654557</v>
      </c>
      <c r="Y12" s="84">
        <f t="shared" si="2"/>
        <v>-30.396446809564626</v>
      </c>
      <c r="AB12" t="str">
        <f t="shared" si="13"/>
        <v>-0.00221238938053097+8.32839958941657i</v>
      </c>
      <c r="AD12">
        <f t="shared" si="14"/>
        <v>90</v>
      </c>
      <c r="AE12" s="83">
        <f t="shared" si="15"/>
        <v>18.41123138799502</v>
      </c>
      <c r="AF12" s="83">
        <f t="shared" si="16"/>
        <v>90.015220279694958</v>
      </c>
      <c r="AH12" t="str">
        <f t="shared" si="17"/>
        <v>-1.00221238938053+8.32839958941657i</v>
      </c>
      <c r="AI12" t="str">
        <f t="shared" si="18"/>
        <v>-7.48749100560633+69.4950424691154i</v>
      </c>
      <c r="AJ12" t="str">
        <f t="shared" si="24"/>
        <v>19996.5083854523-248.639611075846i</v>
      </c>
      <c r="AK12" s="83">
        <f t="shared" si="19"/>
        <v>-7.48749100560633</v>
      </c>
      <c r="AL12" s="83">
        <f t="shared" si="4"/>
        <v>69.495042469115404</v>
      </c>
      <c r="AM12" s="83">
        <f t="shared" si="20"/>
        <v>90</v>
      </c>
      <c r="AN12" s="83">
        <f t="shared" si="5"/>
        <v>36.889199914597086</v>
      </c>
      <c r="AO12" s="83">
        <f t="shared" si="6"/>
        <v>-83.85059558336998</v>
      </c>
      <c r="AR12" t="str">
        <f t="shared" si="7"/>
        <v>178.823105637782+397.027301340292i</v>
      </c>
      <c r="AT12">
        <f t="shared" si="8"/>
        <v>90</v>
      </c>
      <c r="AU12">
        <f t="shared" si="21"/>
        <v>52.778575302251639</v>
      </c>
      <c r="AV12">
        <f t="shared" si="22"/>
        <v>65.752957607065397</v>
      </c>
    </row>
    <row r="13" spans="1:48" ht="21" x14ac:dyDescent="0.35">
      <c r="A13" s="1"/>
      <c r="B13" s="1"/>
      <c r="C13" s="85" t="s">
        <v>270</v>
      </c>
      <c r="D13" s="26">
        <f>D12/F37</f>
        <v>1108.071802666077</v>
      </c>
      <c r="E13" s="81" t="s">
        <v>27</v>
      </c>
      <c r="F13" s="115"/>
      <c r="G13" s="1"/>
      <c r="J13" s="1"/>
      <c r="K13" t="s">
        <v>219</v>
      </c>
      <c r="L13">
        <f>IF(L8=400,40,5)</f>
        <v>5</v>
      </c>
      <c r="P13">
        <f>10*P4</f>
        <v>100</v>
      </c>
      <c r="R13" t="str">
        <f t="shared" si="0"/>
        <v>1.30045145591188-0.847066530558377i</v>
      </c>
      <c r="S13" t="str">
        <f t="shared" si="9"/>
        <v>5.06768625390774-3.30090553825862i</v>
      </c>
      <c r="U13">
        <f t="shared" si="10"/>
        <v>5.0676862539077403</v>
      </c>
      <c r="V13">
        <f t="shared" si="11"/>
        <v>-3.3009055382586201</v>
      </c>
      <c r="W13" s="64">
        <f t="shared" si="12"/>
        <v>100</v>
      </c>
      <c r="X13" s="84">
        <f t="shared" si="1"/>
        <v>15.632130850375077</v>
      </c>
      <c r="Y13" s="84">
        <f t="shared" si="2"/>
        <v>-33.078750191080815</v>
      </c>
      <c r="AB13" t="str">
        <f t="shared" si="13"/>
        <v>-0.00221238938053097+7.49555963047491i</v>
      </c>
      <c r="AD13">
        <f t="shared" si="14"/>
        <v>100</v>
      </c>
      <c r="AE13" s="83">
        <f t="shared" si="15"/>
        <v>17.49608164866893</v>
      </c>
      <c r="AF13" s="83">
        <f t="shared" si="16"/>
        <v>90.01691142178997</v>
      </c>
      <c r="AH13" t="str">
        <f t="shared" si="17"/>
        <v>-1.00221238938053+7.49555963047491i</v>
      </c>
      <c r="AI13" t="str">
        <f t="shared" si="18"/>
        <v>-7.48721951531446+62.5651890416672i</v>
      </c>
      <c r="AJ13" t="str">
        <f t="shared" si="24"/>
        <v>19995.7833284347-276.256217341307i</v>
      </c>
      <c r="AK13" s="83">
        <f t="shared" si="19"/>
        <v>-7.4872195153144601</v>
      </c>
      <c r="AL13" s="83">
        <f t="shared" si="4"/>
        <v>62.565189041667203</v>
      </c>
      <c r="AM13" s="83">
        <f t="shared" si="20"/>
        <v>100</v>
      </c>
      <c r="AN13" s="83">
        <f t="shared" si="5"/>
        <v>35.988409712444863</v>
      </c>
      <c r="AO13" s="83">
        <f t="shared" si="6"/>
        <v>-83.175827385242613</v>
      </c>
      <c r="AR13" t="str">
        <f t="shared" si="7"/>
        <v>168.578899592088+341.775352843856i</v>
      </c>
      <c r="AT13">
        <f t="shared" si="8"/>
        <v>100</v>
      </c>
      <c r="AU13">
        <f t="shared" si="21"/>
        <v>51.620540562819947</v>
      </c>
      <c r="AV13">
        <f t="shared" si="22"/>
        <v>63.745422423676608</v>
      </c>
    </row>
    <row r="14" spans="1:48" ht="21" x14ac:dyDescent="0.35">
      <c r="A14" s="1"/>
      <c r="B14" s="1"/>
      <c r="C14" s="85" t="s">
        <v>248</v>
      </c>
      <c r="D14" s="88">
        <f>1/(E43*F37)</f>
        <v>152.99234481940101</v>
      </c>
      <c r="E14" s="81" t="s">
        <v>27</v>
      </c>
      <c r="F14" s="420" t="s">
        <v>275</v>
      </c>
      <c r="G14" s="463"/>
      <c r="J14" s="1"/>
      <c r="K14" t="s">
        <v>220</v>
      </c>
      <c r="L14">
        <f>L13*D18/(L8+D18)</f>
        <v>4.9999000019999604</v>
      </c>
      <c r="P14">
        <f t="shared" ref="P14:P40" si="25">10*P5</f>
        <v>200</v>
      </c>
      <c r="R14" t="str">
        <f t="shared" si="0"/>
        <v>0.688598603881181-0.887830099606952i</v>
      </c>
      <c r="S14" t="str">
        <f t="shared" si="9"/>
        <v>2.68337711760398-3.45975574184644i</v>
      </c>
      <c r="U14">
        <f t="shared" si="10"/>
        <v>2.68337711760398</v>
      </c>
      <c r="V14">
        <f t="shared" si="11"/>
        <v>-3.4597557418464402</v>
      </c>
      <c r="W14" s="64">
        <f t="shared" si="12"/>
        <v>200</v>
      </c>
      <c r="X14" s="84">
        <f t="shared" si="1"/>
        <v>12.826316855681064</v>
      </c>
      <c r="Y14" s="84">
        <f t="shared" si="2"/>
        <v>-52.202941974364307</v>
      </c>
      <c r="AB14" t="str">
        <f t="shared" si="13"/>
        <v>-0.00221238938053097+3.74777981523746i</v>
      </c>
      <c r="AD14">
        <f t="shared" si="14"/>
        <v>200</v>
      </c>
      <c r="AE14" s="83">
        <f t="shared" si="15"/>
        <v>11.475482870453646</v>
      </c>
      <c r="AF14" s="83">
        <f t="shared" si="16"/>
        <v>90.03382284063332</v>
      </c>
      <c r="AH14" t="str">
        <f t="shared" si="17"/>
        <v>-1.00221238938053+3.74777981523746i</v>
      </c>
      <c r="AI14" t="str">
        <f t="shared" si="18"/>
        <v>-7.4829354346204+31.4376381794781i</v>
      </c>
      <c r="AJ14" t="str">
        <f t="shared" si="24"/>
        <v>19984.3420251385-552.196294912727i</v>
      </c>
      <c r="AK14" s="83">
        <f t="shared" si="19"/>
        <v>-7.4829354346203996</v>
      </c>
      <c r="AL14" s="83">
        <f t="shared" si="4"/>
        <v>31.4376381794781</v>
      </c>
      <c r="AM14" s="83">
        <f t="shared" si="20"/>
        <v>200</v>
      </c>
      <c r="AN14" s="83">
        <f t="shared" si="5"/>
        <v>30.188333529128101</v>
      </c>
      <c r="AO14" s="83">
        <f t="shared" si="6"/>
        <v>-76.611325230869085</v>
      </c>
      <c r="AR14" t="str">
        <f t="shared" si="7"/>
        <v>88.6870114837719+110.248167758119i</v>
      </c>
      <c r="AT14">
        <f t="shared" si="8"/>
        <v>200</v>
      </c>
      <c r="AU14">
        <f t="shared" si="21"/>
        <v>43.014650384809173</v>
      </c>
      <c r="AV14">
        <f t="shared" si="22"/>
        <v>51.185732794766629</v>
      </c>
    </row>
    <row r="15" spans="1:48" ht="21" x14ac:dyDescent="0.35">
      <c r="A15" s="1"/>
      <c r="B15" s="1"/>
      <c r="C15" s="85" t="s">
        <v>249</v>
      </c>
      <c r="D15" s="89">
        <f>1/(F38*F37)</f>
        <v>18956.627236882014</v>
      </c>
      <c r="E15" s="81" t="s">
        <v>27</v>
      </c>
      <c r="F15" s="464" t="s">
        <v>276</v>
      </c>
      <c r="G15" s="463"/>
      <c r="J15" s="1"/>
      <c r="K15" t="s">
        <v>216</v>
      </c>
      <c r="L15" s="44">
        <f>L7+L9/(L8*1000)</f>
        <v>2.5000000000000001E-4</v>
      </c>
      <c r="P15">
        <f t="shared" si="25"/>
        <v>300</v>
      </c>
      <c r="R15" t="str">
        <f t="shared" si="0"/>
        <v>0.39058099086352-0.742651342392841i</v>
      </c>
      <c r="S15" t="str">
        <f t="shared" si="9"/>
        <v>1.52204214116459-2.89401344600852i</v>
      </c>
      <c r="U15">
        <f t="shared" si="10"/>
        <v>1.5220421411645899</v>
      </c>
      <c r="V15">
        <f t="shared" si="11"/>
        <v>-2.8940134460085201</v>
      </c>
      <c r="W15" s="64">
        <f t="shared" si="12"/>
        <v>300</v>
      </c>
      <c r="X15" s="84">
        <f t="shared" si="1"/>
        <v>10.290559485663003</v>
      </c>
      <c r="Y15" s="84">
        <f t="shared" si="2"/>
        <v>-62.258869928175358</v>
      </c>
      <c r="AB15" t="str">
        <f t="shared" si="13"/>
        <v>-0.00221238938053097+2.49851987682498i</v>
      </c>
      <c r="AD15">
        <f t="shared" si="14"/>
        <v>300</v>
      </c>
      <c r="AE15" s="83">
        <f t="shared" si="15"/>
        <v>7.9536595811132624</v>
      </c>
      <c r="AF15" s="83">
        <f t="shared" si="16"/>
        <v>90.050734253583428</v>
      </c>
      <c r="AH15" t="str">
        <f t="shared" si="17"/>
        <v>-1.00221238938053+2.49851987682498i</v>
      </c>
      <c r="AI15" t="str">
        <f t="shared" si="18"/>
        <v>-7.47580618437349+21.1304335795999i</v>
      </c>
      <c r="AJ15" t="str">
        <f t="shared" si="24"/>
        <v>19965.3022543745-827.505297733356i</v>
      </c>
      <c r="AK15" s="83">
        <f t="shared" si="19"/>
        <v>-7.4758061843734902</v>
      </c>
      <c r="AL15" s="83">
        <f t="shared" si="4"/>
        <v>21.130433579599899</v>
      </c>
      <c r="AM15" s="83">
        <f t="shared" si="20"/>
        <v>300</v>
      </c>
      <c r="AN15" s="83">
        <f t="shared" si="5"/>
        <v>27.010348497422626</v>
      </c>
      <c r="AO15" s="83">
        <f t="shared" si="6"/>
        <v>-70.516560938805924</v>
      </c>
      <c r="AR15" t="str">
        <f t="shared" si="7"/>
        <v>49.7732668475567+53.7964939865609i</v>
      </c>
      <c r="AT15">
        <f t="shared" si="8"/>
        <v>300</v>
      </c>
      <c r="AU15">
        <f t="shared" si="21"/>
        <v>37.300907983085629</v>
      </c>
      <c r="AV15">
        <f t="shared" si="22"/>
        <v>47.224569133018733</v>
      </c>
    </row>
    <row r="16" spans="1:48" x14ac:dyDescent="0.25">
      <c r="A16" s="1"/>
      <c r="B16" s="1"/>
      <c r="C16" s="94"/>
      <c r="D16" s="95"/>
      <c r="E16" s="96"/>
      <c r="F16" s="116"/>
      <c r="G16" s="1"/>
      <c r="H16" s="1"/>
      <c r="J16" s="1"/>
      <c r="P16">
        <f t="shared" si="25"/>
        <v>400</v>
      </c>
      <c r="R16" t="str">
        <f t="shared" si="0"/>
        <v>0.246896394489022-0.611505130372449i</v>
      </c>
      <c r="S16" t="str">
        <f t="shared" si="9"/>
        <v>0.962122391269161-2.38295411127788i</v>
      </c>
      <c r="U16">
        <f t="shared" si="10"/>
        <v>0.96212239126916099</v>
      </c>
      <c r="V16">
        <f t="shared" si="11"/>
        <v>-2.38295411127788</v>
      </c>
      <c r="W16" s="64">
        <f t="shared" si="12"/>
        <v>400</v>
      </c>
      <c r="X16" s="84">
        <f t="shared" si="1"/>
        <v>8.1981691516684201</v>
      </c>
      <c r="Y16" s="84">
        <f t="shared" si="2"/>
        <v>-68.013510411985777</v>
      </c>
      <c r="AB16" t="str">
        <f t="shared" si="13"/>
        <v>-0.00221238938053097+1.87388990761873i</v>
      </c>
      <c r="AD16">
        <f t="shared" si="14"/>
        <v>400</v>
      </c>
      <c r="AE16" s="83">
        <f t="shared" si="15"/>
        <v>5.4548874974283637</v>
      </c>
      <c r="AF16" s="83">
        <f t="shared" si="16"/>
        <v>90.067645657693674</v>
      </c>
      <c r="AH16" t="str">
        <f t="shared" si="17"/>
        <v>-1.00221238938053+1.87388990761873i</v>
      </c>
      <c r="AI16" t="str">
        <f t="shared" si="18"/>
        <v>-7.46584802569578+16.0280212950222i</v>
      </c>
      <c r="AJ16" t="str">
        <f t="shared" si="24"/>
        <v>19938.7074439963-1101.87069077119i</v>
      </c>
      <c r="AK16" s="83">
        <f t="shared" si="19"/>
        <v>-7.46584802569578</v>
      </c>
      <c r="AL16" s="83">
        <f t="shared" si="4"/>
        <v>16.028021295022199</v>
      </c>
      <c r="AM16" s="83">
        <f t="shared" si="20"/>
        <v>400</v>
      </c>
      <c r="AN16" s="83">
        <f t="shared" si="5"/>
        <v>24.950394764113998</v>
      </c>
      <c r="AO16" s="83">
        <f t="shared" si="6"/>
        <v>-65.023908867215582</v>
      </c>
      <c r="AR16" t="str">
        <f t="shared" si="7"/>
        <v>31.010979685288+33.2116914226874i</v>
      </c>
      <c r="AT16">
        <f t="shared" si="8"/>
        <v>400</v>
      </c>
      <c r="AU16">
        <f t="shared" si="21"/>
        <v>33.148563915782418</v>
      </c>
      <c r="AV16">
        <f t="shared" si="22"/>
        <v>46.962580720798641</v>
      </c>
    </row>
    <row r="17" spans="1:48" x14ac:dyDescent="0.25">
      <c r="A17" s="1"/>
      <c r="B17" s="1"/>
      <c r="C17" s="94"/>
      <c r="D17" s="95"/>
      <c r="E17" s="96"/>
      <c r="F17" s="95"/>
      <c r="G17" s="1"/>
      <c r="H17" s="1"/>
      <c r="J17" s="1"/>
      <c r="K17" t="s">
        <v>218</v>
      </c>
      <c r="L17">
        <f>1000*L8*D18/(D18+L8)</f>
        <v>19999.600007999841</v>
      </c>
      <c r="P17">
        <f t="shared" si="25"/>
        <v>500</v>
      </c>
      <c r="R17" t="str">
        <f t="shared" si="0"/>
        <v>0.170416791438145-0.512418337896321i</v>
      </c>
      <c r="S17" t="str">
        <f t="shared" si="9"/>
        <v>0.664091556420749-1.99682606790314i</v>
      </c>
      <c r="U17">
        <f t="shared" si="10"/>
        <v>0.66409155642074902</v>
      </c>
      <c r="V17">
        <f t="shared" si="11"/>
        <v>-1.99682606790314</v>
      </c>
      <c r="W17" s="64">
        <f t="shared" si="12"/>
        <v>500</v>
      </c>
      <c r="X17" s="84">
        <f t="shared" si="1"/>
        <v>6.4624016745515434</v>
      </c>
      <c r="Y17" s="84">
        <f t="shared" si="2"/>
        <v>-71.604238668041646</v>
      </c>
      <c r="AB17" t="str">
        <f t="shared" si="13"/>
        <v>-0.00221238938053097+1.49911192609498i</v>
      </c>
      <c r="AD17">
        <f t="shared" si="14"/>
        <v>500</v>
      </c>
      <c r="AE17" s="83">
        <f t="shared" si="15"/>
        <v>3.5166906424548512</v>
      </c>
      <c r="AF17" s="83">
        <f t="shared" si="16"/>
        <v>90.084557050017423</v>
      </c>
      <c r="AH17" t="str">
        <f t="shared" si="17"/>
        <v>-1.00221238938053+1.49911192609498i</v>
      </c>
      <c r="AI17" t="str">
        <f t="shared" si="18"/>
        <v>-7.45308359438677+13.0071982548599i</v>
      </c>
      <c r="AJ17" t="str">
        <f t="shared" si="24"/>
        <v>19904.6180464244-1374.9835149767i</v>
      </c>
      <c r="AK17" s="83">
        <f t="shared" si="19"/>
        <v>-7.4530835943867704</v>
      </c>
      <c r="AL17" s="83">
        <f t="shared" si="4"/>
        <v>13.007198254859899</v>
      </c>
      <c r="AM17" s="83">
        <f t="shared" si="20"/>
        <v>500</v>
      </c>
      <c r="AN17" s="83">
        <f t="shared" si="5"/>
        <v>23.516719926081361</v>
      </c>
      <c r="AO17" s="83">
        <f t="shared" si="6"/>
        <v>-60.187427167657688</v>
      </c>
      <c r="AR17" t="str">
        <f t="shared" si="7"/>
        <v>21.0235826613582+23.5204821412759i</v>
      </c>
      <c r="AT17">
        <f t="shared" si="8"/>
        <v>500</v>
      </c>
      <c r="AU17">
        <f t="shared" si="21"/>
        <v>29.979121600632901</v>
      </c>
      <c r="AV17">
        <f t="shared" si="22"/>
        <v>48.208334164300709</v>
      </c>
    </row>
    <row r="18" spans="1:48" s="70" customFormat="1" ht="42" x14ac:dyDescent="0.25">
      <c r="A18" s="71"/>
      <c r="B18" s="71"/>
      <c r="C18" s="121" t="s">
        <v>193</v>
      </c>
      <c r="D18" s="86">
        <f>'Step 5 - Loop Stability'!D52</f>
        <v>1000000</v>
      </c>
      <c r="E18" s="103" t="s">
        <v>71</v>
      </c>
      <c r="F18" s="119">
        <f>L18</f>
        <v>26.443384133872051</v>
      </c>
      <c r="G18" s="120" t="s">
        <v>281</v>
      </c>
      <c r="J18" s="71"/>
      <c r="K18" s="70" t="s">
        <v>280</v>
      </c>
      <c r="L18" s="70">
        <f>L8*L24/(L13-L24)</f>
        <v>26.443384133872051</v>
      </c>
      <c r="P18" s="70">
        <f t="shared" si="25"/>
        <v>600</v>
      </c>
      <c r="R18" s="70" t="str">
        <f t="shared" si="0"/>
        <v>0.125749515893404-0.43831368149491i</v>
      </c>
      <c r="S18" s="70" t="str">
        <f t="shared" si="9"/>
        <v>0.490029128139742-1.70805008407939i</v>
      </c>
      <c r="U18" s="70">
        <f t="shared" si="10"/>
        <v>0.49002912813974198</v>
      </c>
      <c r="V18" s="70">
        <f t="shared" si="11"/>
        <v>-1.70805008407939</v>
      </c>
      <c r="W18" s="2">
        <f t="shared" si="12"/>
        <v>600</v>
      </c>
      <c r="X18" s="84">
        <f t="shared" si="1"/>
        <v>4.9935211189557762</v>
      </c>
      <c r="Y18" s="84">
        <f t="shared" si="2"/>
        <v>-73.992138245819433</v>
      </c>
      <c r="AB18" s="70" t="str">
        <f t="shared" si="13"/>
        <v>-0.00221238938053097+1.24925993841248i</v>
      </c>
      <c r="AD18" s="70">
        <f t="shared" si="14"/>
        <v>600</v>
      </c>
      <c r="AE18" s="84">
        <f t="shared" si="15"/>
        <v>1.9330698833947133</v>
      </c>
      <c r="AF18" s="84">
        <f t="shared" si="16"/>
        <v>90.101468427608125</v>
      </c>
      <c r="AH18" s="70" t="str">
        <f t="shared" si="17"/>
        <v>-1.00221238938053+1.24925993841248i</v>
      </c>
      <c r="AI18" s="70" t="str">
        <f t="shared" si="18"/>
        <v>-7.43754177280524+11.0268214131409i</v>
      </c>
      <c r="AJ18" s="70" t="str">
        <f t="shared" si="24"/>
        <v>19863.1111964866-1646.53953495325i</v>
      </c>
      <c r="AK18" s="84">
        <f t="shared" si="19"/>
        <v>-7.4375417728052398</v>
      </c>
      <c r="AL18" s="84">
        <f t="shared" si="4"/>
        <v>11.026821413140899</v>
      </c>
      <c r="AM18" s="84">
        <f t="shared" si="20"/>
        <v>600</v>
      </c>
      <c r="AN18" s="84">
        <f t="shared" si="5"/>
        <v>22.477470261401145</v>
      </c>
      <c r="AO18" s="84">
        <f t="shared" si="6"/>
        <v>-56.000511349695621</v>
      </c>
      <c r="AR18" s="70" t="str">
        <f t="shared" si="7"/>
        <v>15.1897511314131+18.107157533618i</v>
      </c>
      <c r="AT18" s="70">
        <f t="shared" si="8"/>
        <v>600</v>
      </c>
      <c r="AU18" s="70">
        <f t="shared" si="21"/>
        <v>27.470991380356917</v>
      </c>
      <c r="AV18" s="70">
        <f t="shared" si="22"/>
        <v>50.007350404484839</v>
      </c>
    </row>
    <row r="19" spans="1:48" s="70" customFormat="1" ht="40.5" customHeight="1" x14ac:dyDescent="0.25">
      <c r="A19" s="71"/>
      <c r="B19" s="71"/>
      <c r="C19" s="121" t="s">
        <v>227</v>
      </c>
      <c r="D19" s="102">
        <f>L14</f>
        <v>4.9999000019999604</v>
      </c>
      <c r="E19" s="103" t="s">
        <v>35</v>
      </c>
      <c r="F19" s="465" t="str">
        <f>IF(L14&lt;L24,"Rfb too small to get full output,increase the value of Rfb","")</f>
        <v/>
      </c>
      <c r="G19" s="466"/>
      <c r="J19" s="71"/>
      <c r="P19" s="70">
        <f t="shared" si="25"/>
        <v>700</v>
      </c>
      <c r="R19" s="70" t="str">
        <f t="shared" si="0"/>
        <v>0.0976557315105059-0.381788474028371i</v>
      </c>
      <c r="S19" s="70" t="str">
        <f t="shared" si="9"/>
        <v>0.380551389243575-1.4877788732047i</v>
      </c>
      <c r="U19" s="70">
        <f t="shared" si="10"/>
        <v>0.38055138924357501</v>
      </c>
      <c r="V19" s="70">
        <f t="shared" si="11"/>
        <v>-1.4877788732046999</v>
      </c>
      <c r="W19" s="2">
        <f t="shared" si="12"/>
        <v>700</v>
      </c>
      <c r="X19" s="84">
        <f t="shared" si="1"/>
        <v>3.7260003354054385</v>
      </c>
      <c r="Y19" s="84">
        <f t="shared" si="2"/>
        <v>-75.652229681127565</v>
      </c>
      <c r="AB19" s="70" t="str">
        <f t="shared" si="13"/>
        <v>-0.00221238938053097+1.07079423292499i</v>
      </c>
      <c r="AD19" s="70">
        <f t="shared" si="14"/>
        <v>700</v>
      </c>
      <c r="AE19" s="84">
        <f t="shared" si="15"/>
        <v>0.5941390093774489</v>
      </c>
      <c r="AF19" s="84">
        <f t="shared" si="16"/>
        <v>90.11837978751916</v>
      </c>
      <c r="AH19" s="70" t="str">
        <f t="shared" si="17"/>
        <v>-1.00221238938053+1.07079423292499i</v>
      </c>
      <c r="AI19" s="70" t="str">
        <f t="shared" si="18"/>
        <v>-7.41925752747616+9.64062369589826i</v>
      </c>
      <c r="AJ19" s="70" t="str">
        <f t="shared" si="24"/>
        <v>19814.2802777221-1916.24034941206i</v>
      </c>
      <c r="AK19" s="84">
        <f t="shared" si="19"/>
        <v>-7.4192575274761596</v>
      </c>
      <c r="AL19" s="84">
        <f t="shared" si="4"/>
        <v>9.6406236958982596</v>
      </c>
      <c r="AM19" s="84">
        <f t="shared" si="20"/>
        <v>700</v>
      </c>
      <c r="AN19" s="84">
        <f t="shared" si="5"/>
        <v>21.702235882557446</v>
      </c>
      <c r="AO19" s="84">
        <f t="shared" si="6"/>
        <v>-52.418740771889865</v>
      </c>
      <c r="AR19" s="70" t="str">
        <f t="shared" si="7"/>
        <v>11.5197075000371+14.7069673448926i</v>
      </c>
      <c r="AT19" s="70">
        <f t="shared" si="8"/>
        <v>700</v>
      </c>
      <c r="AU19" s="70">
        <f t="shared" si="21"/>
        <v>25.428236217962883</v>
      </c>
      <c r="AV19" s="70">
        <f t="shared" si="22"/>
        <v>51.929029546982711</v>
      </c>
    </row>
    <row r="20" spans="1:48" ht="21" x14ac:dyDescent="0.35">
      <c r="A20" s="1"/>
      <c r="B20" s="1"/>
      <c r="C20" s="85" t="s">
        <v>191</v>
      </c>
      <c r="D20" s="86">
        <f>'Step 5 - Loop Stability'!D17</f>
        <v>0.1</v>
      </c>
      <c r="E20" s="81" t="s">
        <v>72</v>
      </c>
      <c r="F20" s="117"/>
      <c r="G20" s="1"/>
      <c r="J20" s="1"/>
      <c r="K20" t="s">
        <v>215</v>
      </c>
      <c r="L20" s="44">
        <f>L15/D6</f>
        <v>5.0000000000000001E-4</v>
      </c>
      <c r="P20">
        <f t="shared" si="25"/>
        <v>800</v>
      </c>
      <c r="R20" t="str">
        <f t="shared" si="0"/>
        <v>0.0789291124604502-0.337617529555382i</v>
      </c>
      <c r="S20" t="str">
        <f t="shared" si="9"/>
        <v>0.307576247026068-1.3156505810564i</v>
      </c>
      <c r="U20">
        <f t="shared" si="10"/>
        <v>0.30757624702606801</v>
      </c>
      <c r="V20">
        <f t="shared" si="11"/>
        <v>-1.3156505810564001</v>
      </c>
      <c r="W20" s="64">
        <f t="shared" si="12"/>
        <v>800</v>
      </c>
      <c r="X20" s="84">
        <f t="shared" si="1"/>
        <v>2.6139125800002834</v>
      </c>
      <c r="Y20" s="84">
        <f t="shared" si="2"/>
        <v>-76.841566751868257</v>
      </c>
      <c r="AB20" t="str">
        <f t="shared" si="13"/>
        <v>-0.00221238938053097+0.936944953809363i</v>
      </c>
      <c r="AD20">
        <f t="shared" si="14"/>
        <v>800</v>
      </c>
      <c r="AE20" s="83">
        <f t="shared" si="15"/>
        <v>-0.56569425488137914</v>
      </c>
      <c r="AF20" s="83">
        <f t="shared" si="16"/>
        <v>90.135291126804006</v>
      </c>
      <c r="AH20" t="str">
        <f t="shared" si="17"/>
        <v>-1.00221238938053+0.936944953809363i</v>
      </c>
      <c r="AI20" t="str">
        <f t="shared" si="18"/>
        <v>-7.39827171411649+8.62541828273021i</v>
      </c>
      <c r="AJ20" t="str">
        <f t="shared" si="24"/>
        <v>19758.2344016726-2183.79445605895i</v>
      </c>
      <c r="AK20" s="83">
        <f t="shared" si="19"/>
        <v>-7.3982717141164898</v>
      </c>
      <c r="AL20" s="83">
        <f t="shared" si="4"/>
        <v>8.6254182827302106</v>
      </c>
      <c r="AM20" s="83">
        <f t="shared" si="20"/>
        <v>800</v>
      </c>
      <c r="AN20" s="83">
        <f t="shared" si="5"/>
        <v>21.110347683761294</v>
      </c>
      <c r="AO20" s="83">
        <f t="shared" si="6"/>
        <v>-49.379349845397009</v>
      </c>
      <c r="AR20" t="str">
        <f t="shared" si="7"/>
        <v>9.07250392722143+12.3865142639227i</v>
      </c>
      <c r="AT20">
        <f t="shared" si="8"/>
        <v>800</v>
      </c>
      <c r="AU20">
        <f t="shared" si="21"/>
        <v>23.724260263761586</v>
      </c>
      <c r="AV20">
        <f t="shared" si="22"/>
        <v>53.779083402734791</v>
      </c>
    </row>
    <row r="21" spans="1:48" ht="21" x14ac:dyDescent="0.35">
      <c r="A21" s="1"/>
      <c r="B21" s="1"/>
      <c r="C21" s="85" t="s">
        <v>248</v>
      </c>
      <c r="D21" s="91">
        <f>1/(6.28*L17*(D20+D9)*0.000000001)</f>
        <v>7238.1297046902118</v>
      </c>
      <c r="E21" s="81" t="s">
        <v>27</v>
      </c>
      <c r="F21" s="456" t="s">
        <v>277</v>
      </c>
      <c r="G21" s="457"/>
      <c r="J21" s="1"/>
      <c r="P21">
        <f t="shared" si="25"/>
        <v>900</v>
      </c>
      <c r="R21" t="str">
        <f t="shared" si="0"/>
        <v>0.0658583701285832-0.302308596999185i</v>
      </c>
      <c r="S21" t="str">
        <f t="shared" si="9"/>
        <v>0.256641303670473-1.17805636995243i</v>
      </c>
      <c r="U21">
        <f t="shared" si="10"/>
        <v>0.256641303670473</v>
      </c>
      <c r="V21">
        <f t="shared" si="11"/>
        <v>-1.17805636995243</v>
      </c>
      <c r="W21" s="64">
        <f t="shared" si="12"/>
        <v>900</v>
      </c>
      <c r="X21" s="84">
        <f t="shared" si="1"/>
        <v>1.6246928428147478</v>
      </c>
      <c r="Y21" s="84">
        <f t="shared" si="2"/>
        <v>-77.710053293543695</v>
      </c>
      <c r="AB21" t="str">
        <f t="shared" si="13"/>
        <v>-0.00221238938053097+0.832839958941657i</v>
      </c>
      <c r="AD21">
        <f t="shared" si="14"/>
        <v>900</v>
      </c>
      <c r="AE21" s="83">
        <f t="shared" si="15"/>
        <v>-1.5887382718370344</v>
      </c>
      <c r="AF21" s="83">
        <f t="shared" si="16"/>
        <v>90.152202442516085</v>
      </c>
      <c r="AH21" t="str">
        <f t="shared" si="17"/>
        <v>-1.00221238938053+0.832839958941657i</v>
      </c>
      <c r="AI21" t="str">
        <f t="shared" si="18"/>
        <v>-7.37463085209004+7.85716694651381i</v>
      </c>
      <c r="AJ21" t="str">
        <f t="shared" si="24"/>
        <v>19695.0978055288-2448.91826316541i</v>
      </c>
      <c r="AK21" s="83">
        <f t="shared" si="19"/>
        <v>-7.3746308520900401</v>
      </c>
      <c r="AL21" s="83">
        <f t="shared" si="4"/>
        <v>7.8571669465138099</v>
      </c>
      <c r="AM21" s="83">
        <f t="shared" si="20"/>
        <v>900</v>
      </c>
      <c r="AN21" s="83">
        <f t="shared" si="5"/>
        <v>20.649079720071228</v>
      </c>
      <c r="AO21" s="83">
        <f t="shared" si="6"/>
        <v>-46.814496144084885</v>
      </c>
      <c r="AR21" t="str">
        <f t="shared" si="7"/>
        <v>7.3635506951514+10.7042044196622i</v>
      </c>
      <c r="AT21">
        <f t="shared" si="8"/>
        <v>900</v>
      </c>
      <c r="AU21">
        <f t="shared" si="21"/>
        <v>22.273772562885952</v>
      </c>
      <c r="AV21">
        <f t="shared" si="22"/>
        <v>55.475450562371329</v>
      </c>
    </row>
    <row r="22" spans="1:48" ht="30" customHeight="1" x14ac:dyDescent="0.25">
      <c r="A22" s="1"/>
      <c r="B22" s="1"/>
      <c r="C22" s="1"/>
      <c r="D22" s="66"/>
      <c r="E22" s="65"/>
      <c r="F22" s="66"/>
      <c r="G22" s="1"/>
      <c r="J22" s="1"/>
      <c r="K22" t="s">
        <v>271</v>
      </c>
      <c r="L22">
        <f>'Step 1 - Device Parameters'!L8</f>
        <v>4</v>
      </c>
      <c r="P22">
        <f t="shared" si="25"/>
        <v>1000</v>
      </c>
      <c r="R22" t="str">
        <f t="shared" si="0"/>
        <v>0.0563905386482174-0.273514646245492i</v>
      </c>
      <c r="S22" t="str">
        <f t="shared" si="9"/>
        <v>0.219746424412007-1.06585017589049i</v>
      </c>
      <c r="U22">
        <f t="shared" si="10"/>
        <v>0.21974642441200701</v>
      </c>
      <c r="V22">
        <f t="shared" si="11"/>
        <v>-1.0658501758904899</v>
      </c>
      <c r="W22" s="64">
        <f t="shared" si="12"/>
        <v>1000</v>
      </c>
      <c r="X22" s="84">
        <f t="shared" si="1"/>
        <v>0.7347092937806855</v>
      </c>
      <c r="Y22" s="84">
        <f t="shared" si="2"/>
        <v>-78.350551288514538</v>
      </c>
      <c r="AB22" t="str">
        <f t="shared" si="13"/>
        <v>-0.00221238938053097+0.749555963047491i</v>
      </c>
      <c r="AD22">
        <f t="shared" si="14"/>
        <v>1000</v>
      </c>
      <c r="AE22" s="83">
        <f t="shared" si="15"/>
        <v>-2.5038808943649151</v>
      </c>
      <c r="AF22" s="83">
        <f t="shared" si="16"/>
        <v>90.169113731708919</v>
      </c>
      <c r="AH22" t="str">
        <f t="shared" si="17"/>
        <v>-1.00221238938053+0.749555963047491i</v>
      </c>
      <c r="AI22" t="str">
        <f t="shared" si="18"/>
        <v>-7.34838687058676+7.26140759395082i</v>
      </c>
      <c r="AJ22" t="str">
        <f t="shared" si="24"/>
        <v>19625.009174263-2711.33704077537i</v>
      </c>
      <c r="AK22" s="83">
        <f t="shared" si="19"/>
        <v>-7.3483868705867597</v>
      </c>
      <c r="AL22" s="83">
        <f t="shared" si="4"/>
        <v>7.2614075939508202</v>
      </c>
      <c r="AM22" s="83">
        <f t="shared" si="20"/>
        <v>1000</v>
      </c>
      <c r="AN22" s="83">
        <f t="shared" si="5"/>
        <v>20.282736095748675</v>
      </c>
      <c r="AO22" s="83">
        <f t="shared" si="6"/>
        <v>-44.658894134980947</v>
      </c>
      <c r="AR22" t="str">
        <f t="shared" si="7"/>
        <v>6.12479082121744+9.42794779349515i</v>
      </c>
      <c r="AT22">
        <f t="shared" si="8"/>
        <v>1000</v>
      </c>
      <c r="AU22">
        <f t="shared" si="21"/>
        <v>21.017445389529357</v>
      </c>
      <c r="AV22">
        <f t="shared" si="22"/>
        <v>56.990554576504529</v>
      </c>
    </row>
    <row r="23" spans="1:48" ht="31.5" x14ac:dyDescent="0.25">
      <c r="A23" s="1"/>
      <c r="B23" s="1"/>
      <c r="C23" s="462" t="s">
        <v>230</v>
      </c>
      <c r="D23" s="462"/>
      <c r="E23" s="462"/>
      <c r="F23" s="474"/>
      <c r="G23" s="1"/>
      <c r="H23" s="1"/>
      <c r="J23" s="1"/>
      <c r="K23" t="s">
        <v>272</v>
      </c>
      <c r="L23">
        <f>'Step 3 - Component Selection'!O19</f>
        <v>0.7117101990686544</v>
      </c>
      <c r="P23">
        <f t="shared" si="25"/>
        <v>2000</v>
      </c>
      <c r="R23" t="str">
        <f t="shared" si="0"/>
        <v>0.0254358146246702-0.13910628338728i</v>
      </c>
      <c r="S23" t="str">
        <f t="shared" si="9"/>
        <v>0.0991199844826204-0.542078673486203i</v>
      </c>
      <c r="U23">
        <f t="shared" si="10"/>
        <v>9.9119984482620396E-2</v>
      </c>
      <c r="V23">
        <f t="shared" si="11"/>
        <v>-0.54207867348620298</v>
      </c>
      <c r="W23" s="64">
        <f t="shared" si="12"/>
        <v>2000</v>
      </c>
      <c r="X23" s="84">
        <f t="shared" si="1"/>
        <v>-5.1759230477493645</v>
      </c>
      <c r="Y23" s="84">
        <f t="shared" si="2"/>
        <v>-79.637844965671448</v>
      </c>
      <c r="AB23" t="str">
        <f t="shared" si="13"/>
        <v>-0.00221238938053097+0.374777981523746i</v>
      </c>
      <c r="AD23">
        <f t="shared" si="14"/>
        <v>2000</v>
      </c>
      <c r="AE23" s="83">
        <f t="shared" si="15"/>
        <v>-8.5243673036592078</v>
      </c>
      <c r="AF23" s="83">
        <f t="shared" si="16"/>
        <v>90.338224516868053</v>
      </c>
      <c r="AH23" t="str">
        <f t="shared" si="17"/>
        <v>-1.00221238938053+0.374777981523746i</v>
      </c>
      <c r="AI23" t="str">
        <f t="shared" si="18"/>
        <v>-6.95744952903197+5.04553138926554i</v>
      </c>
      <c r="AJ23" t="str">
        <f t="shared" si="24"/>
        <v>18580.9502468154-5134.18548849027i</v>
      </c>
      <c r="AK23" s="83">
        <f t="shared" si="19"/>
        <v>-6.9574495290319698</v>
      </c>
      <c r="AL23" s="83">
        <f t="shared" si="4"/>
        <v>5.0455313892655402</v>
      </c>
      <c r="AM23" s="83">
        <f t="shared" si="20"/>
        <v>2000</v>
      </c>
      <c r="AN23" s="83">
        <f t="shared" si="5"/>
        <v>18.684298295009764</v>
      </c>
      <c r="AO23" s="83">
        <f t="shared" si="6"/>
        <v>-35.949562864551815</v>
      </c>
      <c r="AR23" t="str">
        <f t="shared" si="7"/>
        <v>2.0454526731698+4.27159800455543i</v>
      </c>
      <c r="AT23">
        <f t="shared" si="8"/>
        <v>2000</v>
      </c>
      <c r="AU23">
        <f t="shared" si="21"/>
        <v>13.508375247260396</v>
      </c>
      <c r="AV23">
        <f t="shared" si="22"/>
        <v>64.41259216977673</v>
      </c>
    </row>
    <row r="24" spans="1:48" ht="21" x14ac:dyDescent="0.35">
      <c r="A24" s="1"/>
      <c r="B24" s="1"/>
      <c r="C24" s="85" t="s">
        <v>196</v>
      </c>
      <c r="D24" s="79">
        <f>'Step 2 - Operating Conditions'!J7/(2)</f>
        <v>6.9</v>
      </c>
      <c r="E24" s="104" t="s">
        <v>71</v>
      </c>
      <c r="F24" s="456" t="s">
        <v>273</v>
      </c>
      <c r="G24" s="475"/>
      <c r="H24">
        <f>1/(1000*D25)</f>
        <v>8.3333333333333339E-4</v>
      </c>
      <c r="J24" s="1"/>
      <c r="L24">
        <f>L22*L23</f>
        <v>2.8468407962746176</v>
      </c>
      <c r="P24">
        <f t="shared" si="25"/>
        <v>3000</v>
      </c>
      <c r="R24" t="str">
        <f t="shared" si="0"/>
        <v>0.0195863930572608-0.0930334395861722i</v>
      </c>
      <c r="S24" t="str">
        <f t="shared" si="9"/>
        <v>0.0763255671010917-0.36253893276932i</v>
      </c>
      <c r="U24">
        <f t="shared" si="10"/>
        <v>7.6325567101091701E-2</v>
      </c>
      <c r="V24">
        <f t="shared" si="11"/>
        <v>-0.36253893276931998</v>
      </c>
      <c r="W24" s="64">
        <f t="shared" si="12"/>
        <v>3000</v>
      </c>
      <c r="X24" s="84">
        <f t="shared" si="1"/>
        <v>-8.6245578406842451</v>
      </c>
      <c r="Y24" s="84">
        <f t="shared" si="2"/>
        <v>-78.111102664426738</v>
      </c>
      <c r="AB24" t="str">
        <f t="shared" si="13"/>
        <v>-0.00221238938053097+0.249851987682498i</v>
      </c>
      <c r="AD24">
        <f t="shared" si="14"/>
        <v>3000</v>
      </c>
      <c r="AE24" s="83">
        <f t="shared" si="15"/>
        <v>-12.046003318055817</v>
      </c>
      <c r="AF24" s="83">
        <f t="shared" si="16"/>
        <v>90.507329409235638</v>
      </c>
      <c r="AH24" t="str">
        <f t="shared" si="17"/>
        <v>-1.00221238938053+0.249851987682498i</v>
      </c>
      <c r="AI24" t="str">
        <f t="shared" si="18"/>
        <v>-6.39079450271694+4.73086178560455i</v>
      </c>
      <c r="AJ24" t="str">
        <f t="shared" si="24"/>
        <v>17067.6099333669-7074.04148435225i</v>
      </c>
      <c r="AK24" s="83">
        <f t="shared" si="19"/>
        <v>-6.3907945027169397</v>
      </c>
      <c r="AL24" s="83">
        <f t="shared" si="4"/>
        <v>4.7308617856045503</v>
      </c>
      <c r="AM24" s="83">
        <f t="shared" si="20"/>
        <v>3000</v>
      </c>
      <c r="AN24" s="83">
        <f t="shared" si="5"/>
        <v>18.008772127846541</v>
      </c>
      <c r="AO24" s="83">
        <f t="shared" si="6"/>
        <v>-36.511136663503876</v>
      </c>
      <c r="AR24" t="str">
        <f t="shared" si="7"/>
        <v>1.22734056818582+2.67799752722619i</v>
      </c>
      <c r="AT24">
        <f t="shared" si="8"/>
        <v>3000</v>
      </c>
      <c r="AU24">
        <f t="shared" si="21"/>
        <v>9.3842142871622993</v>
      </c>
      <c r="AV24">
        <f t="shared" si="22"/>
        <v>65.377760672069471</v>
      </c>
    </row>
    <row r="25" spans="1:48" ht="21" x14ac:dyDescent="0.35">
      <c r="A25" s="1"/>
      <c r="B25" s="1"/>
      <c r="C25" s="85" t="s">
        <v>222</v>
      </c>
      <c r="D25" s="86">
        <f>'Step 5 - Loop Stability'!D31</f>
        <v>1.2</v>
      </c>
      <c r="E25" s="113">
        <f>0.001*('Step 2 - Operating Conditions'!J8-2.5-'Loop Stability Worksht'!D7)/'Loop Stability Worksht'!L20</f>
        <v>20.6</v>
      </c>
      <c r="F25" s="114" t="s">
        <v>251</v>
      </c>
      <c r="J25" s="1"/>
      <c r="P25">
        <f t="shared" si="25"/>
        <v>4000</v>
      </c>
      <c r="R25" t="str">
        <f t="shared" si="0"/>
        <v>0.0175302664390155-0.0698530929796435i</v>
      </c>
      <c r="S25" t="str">
        <f t="shared" si="9"/>
        <v>0.0683131153081341-0.272208206985825i</v>
      </c>
      <c r="U25">
        <f t="shared" si="10"/>
        <v>6.8313115308134095E-2</v>
      </c>
      <c r="V25">
        <f t="shared" si="11"/>
        <v>-0.27220820698582499</v>
      </c>
      <c r="W25" s="64">
        <f t="shared" si="12"/>
        <v>4000</v>
      </c>
      <c r="X25" s="84">
        <f t="shared" si="1"/>
        <v>-11.036722934313438</v>
      </c>
      <c r="Y25" s="84">
        <f t="shared" si="2"/>
        <v>-75.912050569500735</v>
      </c>
      <c r="AB25" t="str">
        <f t="shared" si="13"/>
        <v>-0.00221238938053097+0.187388990761873i</v>
      </c>
      <c r="AD25">
        <f t="shared" si="14"/>
        <v>4000</v>
      </c>
      <c r="AE25" s="83">
        <f t="shared" si="15"/>
        <v>-14.544513230659785</v>
      </c>
      <c r="AF25" s="83">
        <f t="shared" si="16"/>
        <v>90.676425463185922</v>
      </c>
      <c r="AH25" t="str">
        <f t="shared" si="17"/>
        <v>-1.00221238938053+0.187388990761873i</v>
      </c>
      <c r="AI25" t="str">
        <f t="shared" si="18"/>
        <v>-5.73667518240634+4.73179645989145i</v>
      </c>
      <c r="AJ25" t="str">
        <f t="shared" si="24"/>
        <v>15320.6826296969-8466.65271542138i</v>
      </c>
      <c r="AK25" s="83">
        <f t="shared" si="19"/>
        <v>-5.7366751824063398</v>
      </c>
      <c r="AL25" s="83">
        <f t="shared" si="4"/>
        <v>4.7317964598914504</v>
      </c>
      <c r="AM25" s="83">
        <f t="shared" si="20"/>
        <v>4000</v>
      </c>
      <c r="AN25" s="83">
        <f t="shared" si="5"/>
        <v>17.427199471192022</v>
      </c>
      <c r="AO25" s="83">
        <f t="shared" si="6"/>
        <v>-39.516922346974013</v>
      </c>
      <c r="AR25" t="str">
        <f t="shared" si="7"/>
        <v>0.89614367694789+1.8848138226421i</v>
      </c>
      <c r="AT25">
        <f t="shared" si="8"/>
        <v>4000</v>
      </c>
      <c r="AU25">
        <f t="shared" si="21"/>
        <v>6.3904765368785963</v>
      </c>
      <c r="AV25">
        <f t="shared" si="22"/>
        <v>64.571027083525323</v>
      </c>
    </row>
    <row r="26" spans="1:48" ht="21" x14ac:dyDescent="0.35">
      <c r="A26" s="1"/>
      <c r="B26" s="1"/>
      <c r="C26" s="20"/>
      <c r="D26" s="68"/>
      <c r="E26" s="112"/>
      <c r="F26" s="68"/>
      <c r="G26" s="1"/>
      <c r="H26" s="1"/>
      <c r="J26" s="1"/>
      <c r="P26">
        <f t="shared" si="25"/>
        <v>5000</v>
      </c>
      <c r="R26" t="str">
        <f t="shared" si="0"/>
        <v>0.0165770161771484-0.0559114088621557i</v>
      </c>
      <c r="S26" t="str">
        <f t="shared" si="9"/>
        <v>0.0645984259003618-0.217879319400417i</v>
      </c>
      <c r="U26">
        <f t="shared" si="10"/>
        <v>6.45984259003618E-2</v>
      </c>
      <c r="V26">
        <f t="shared" si="11"/>
        <v>-0.21787931940041699</v>
      </c>
      <c r="W26" s="64">
        <f t="shared" si="12"/>
        <v>5000</v>
      </c>
      <c r="X26" s="84">
        <f t="shared" si="1"/>
        <v>-12.869771468394458</v>
      </c>
      <c r="Y26" s="84">
        <f t="shared" si="2"/>
        <v>-73.485584760069557</v>
      </c>
      <c r="AB26" t="str">
        <f t="shared" si="13"/>
        <v>-0.00221238938053097+0.149911192609498i</v>
      </c>
      <c r="AD26">
        <f t="shared" si="14"/>
        <v>5000</v>
      </c>
      <c r="AE26" s="83">
        <f t="shared" si="15"/>
        <v>-16.482373032252656</v>
      </c>
      <c r="AF26" s="83">
        <f t="shared" si="16"/>
        <v>90.845509734016815</v>
      </c>
      <c r="AH26" t="str">
        <f t="shared" si="17"/>
        <v>-1.00221238938053+0.149911192609498i</v>
      </c>
      <c r="AI26" t="str">
        <f t="shared" si="18"/>
        <v>-5.06953823127057+4.75120192453568i</v>
      </c>
      <c r="AJ26" t="str">
        <f t="shared" si="24"/>
        <v>13538.9897197965-9352.54704749441i</v>
      </c>
      <c r="AK26" s="83">
        <f t="shared" si="19"/>
        <v>-5.0695382312705703</v>
      </c>
      <c r="AL26" s="83">
        <f t="shared" si="4"/>
        <v>4.75120192453568</v>
      </c>
      <c r="AM26" s="83">
        <f t="shared" si="20"/>
        <v>5000</v>
      </c>
      <c r="AN26" s="83">
        <f t="shared" si="5"/>
        <v>16.837145240611729</v>
      </c>
      <c r="AO26" s="83">
        <f t="shared" si="6"/>
        <v>-43.143424784660155</v>
      </c>
      <c r="AR26" t="str">
        <f t="shared" si="7"/>
        <v>0.707704451870002+1.4114677049634i</v>
      </c>
      <c r="AT26">
        <f t="shared" si="8"/>
        <v>5000</v>
      </c>
      <c r="AU26">
        <f t="shared" si="21"/>
        <v>3.9673737722172726</v>
      </c>
      <c r="AV26">
        <f t="shared" si="22"/>
        <v>63.370990455270295</v>
      </c>
    </row>
    <row r="27" spans="1:48" ht="21" x14ac:dyDescent="0.35">
      <c r="A27" s="1"/>
      <c r="B27" s="1"/>
      <c r="C27" s="85" t="s">
        <v>195</v>
      </c>
      <c r="D27" s="86">
        <f>'Step 5 - Loop Stability'!D34</f>
        <v>10</v>
      </c>
      <c r="E27" s="81" t="s">
        <v>71</v>
      </c>
      <c r="F27" s="82"/>
      <c r="G27" s="1"/>
      <c r="J27" s="1"/>
      <c r="P27">
        <f t="shared" si="25"/>
        <v>6000</v>
      </c>
      <c r="R27" t="str">
        <f t="shared" si="0"/>
        <v>0.0160587873521476-0.0466059490991306i</v>
      </c>
      <c r="S27" t="str">
        <f t="shared" si="9"/>
        <v>0.0625789571374976-0.181617181115288i</v>
      </c>
      <c r="U27">
        <f t="shared" si="10"/>
        <v>6.2578957137497601E-2</v>
      </c>
      <c r="V27">
        <f t="shared" si="11"/>
        <v>-0.18161718111528799</v>
      </c>
      <c r="W27" s="64">
        <f t="shared" si="12"/>
        <v>6000</v>
      </c>
      <c r="X27" s="84">
        <f t="shared" si="1"/>
        <v>-14.329627312716317</v>
      </c>
      <c r="Y27" s="84">
        <f t="shared" si="2"/>
        <v>-70.987831950605084</v>
      </c>
      <c r="AB27" t="str">
        <f t="shared" si="13"/>
        <v>-0.00221238938053097+0.124925993841248i</v>
      </c>
      <c r="AD27">
        <f t="shared" si="14"/>
        <v>6000</v>
      </c>
      <c r="AE27" s="83">
        <f t="shared" si="15"/>
        <v>-18.065581873419337</v>
      </c>
      <c r="AF27" s="83">
        <f t="shared" si="16"/>
        <v>91.014579278257614</v>
      </c>
      <c r="AH27" t="str">
        <f t="shared" si="17"/>
        <v>-1.00221238938053+0.124925993841248i</v>
      </c>
      <c r="AI27" t="str">
        <f t="shared" si="18"/>
        <v>-4.43864569301282+4.72041527405149i</v>
      </c>
      <c r="AJ27" t="str">
        <f t="shared" si="24"/>
        <v>11854.0931473473-9826.37252797446i</v>
      </c>
      <c r="AK27" s="83">
        <f t="shared" si="19"/>
        <v>-4.4386456930128197</v>
      </c>
      <c r="AL27" s="83">
        <f t="shared" si="4"/>
        <v>4.72041527405149</v>
      </c>
      <c r="AM27" s="83">
        <f t="shared" si="20"/>
        <v>6000</v>
      </c>
      <c r="AN27" s="83">
        <f t="shared" si="5"/>
        <v>16.230827370104809</v>
      </c>
      <c r="AO27" s="83">
        <f t="shared" si="6"/>
        <v>-46.762093040070162</v>
      </c>
      <c r="AR27" t="str">
        <f t="shared" si="7"/>
        <v>0.579542697195194+1.10153298384056i</v>
      </c>
      <c r="AT27">
        <f t="shared" si="8"/>
        <v>6000</v>
      </c>
      <c r="AU27">
        <f t="shared" si="21"/>
        <v>1.9012000573884986</v>
      </c>
      <c r="AV27">
        <f t="shared" si="22"/>
        <v>62.25007500932476</v>
      </c>
    </row>
    <row r="28" spans="1:48" ht="21" x14ac:dyDescent="0.35">
      <c r="A28" s="1"/>
      <c r="B28" s="1"/>
      <c r="C28" s="85" t="s">
        <v>194</v>
      </c>
      <c r="D28" s="79">
        <f>D27*('Step 2 - Operating Conditions'!J8-2.5)/2.5</f>
        <v>45.2</v>
      </c>
      <c r="E28" s="81" t="s">
        <v>71</v>
      </c>
      <c r="F28" s="82">
        <f>D28*1000</f>
        <v>45200</v>
      </c>
      <c r="G28" s="1"/>
      <c r="J28" s="1"/>
      <c r="P28">
        <f t="shared" si="25"/>
        <v>7000</v>
      </c>
      <c r="R28" t="str">
        <f t="shared" si="0"/>
        <v>0.0157461707721745-0.0399547342322912i</v>
      </c>
      <c r="S28" t="str">
        <f t="shared" si="9"/>
        <v>0.0613607319297274-0.155698281952048i</v>
      </c>
      <c r="U28">
        <f t="shared" si="10"/>
        <v>6.1360731929727401E-2</v>
      </c>
      <c r="V28">
        <f t="shared" si="11"/>
        <v>-0.15569828195204799</v>
      </c>
      <c r="W28" s="64">
        <f t="shared" si="12"/>
        <v>7000</v>
      </c>
      <c r="X28" s="84">
        <f t="shared" si="1"/>
        <v>-15.527319443827201</v>
      </c>
      <c r="Y28" s="84">
        <f t="shared" si="2"/>
        <v>-68.490587841910056</v>
      </c>
      <c r="AB28" t="str">
        <f t="shared" si="13"/>
        <v>-0.00221238938053097+0.107079423292499i</v>
      </c>
      <c r="AD28">
        <f t="shared" si="14"/>
        <v>7000</v>
      </c>
      <c r="AE28" s="83">
        <f t="shared" si="15"/>
        <v>-19.404025986763521</v>
      </c>
      <c r="AF28" s="83">
        <f t="shared" si="16"/>
        <v>91.183631153976009</v>
      </c>
      <c r="AH28" t="str">
        <f t="shared" si="17"/>
        <v>-1.00221238938053+0.107079423292499i</v>
      </c>
      <c r="AI28" t="str">
        <f t="shared" si="18"/>
        <v>-3.86953535522073+4.63454086936117i</v>
      </c>
      <c r="AJ28" t="str">
        <f t="shared" si="24"/>
        <v>10334.1955430115-9994.20730941106i</v>
      </c>
      <c r="AK28" s="83">
        <f t="shared" si="19"/>
        <v>-3.8695353552207301</v>
      </c>
      <c r="AL28" s="83">
        <f t="shared" si="4"/>
        <v>4.63454086936117</v>
      </c>
      <c r="AM28" s="83">
        <f t="shared" si="20"/>
        <v>7000</v>
      </c>
      <c r="AN28" s="83">
        <f t="shared" si="5"/>
        <v>15.61724613377941</v>
      </c>
      <c r="AO28" s="83">
        <f t="shared" si="6"/>
        <v>-50.140349559421388</v>
      </c>
      <c r="AR28" t="str">
        <f t="shared" si="7"/>
        <v>0.484152529371783+0.886858826662812i</v>
      </c>
      <c r="AT28">
        <f t="shared" si="8"/>
        <v>7000</v>
      </c>
      <c r="AU28">
        <f t="shared" si="21"/>
        <v>8.9926689952208372E-2</v>
      </c>
      <c r="AV28">
        <f t="shared" si="22"/>
        <v>61.369062598668577</v>
      </c>
    </row>
    <row r="29" spans="1:48" ht="21" x14ac:dyDescent="0.35">
      <c r="A29" s="1"/>
      <c r="B29" s="1"/>
      <c r="C29" s="20"/>
      <c r="D29" s="68"/>
      <c r="E29" s="22"/>
      <c r="F29" s="68"/>
      <c r="G29" s="1"/>
      <c r="H29" s="1"/>
      <c r="J29" s="1"/>
      <c r="P29">
        <f t="shared" si="25"/>
        <v>8000</v>
      </c>
      <c r="R29" t="str">
        <f t="shared" si="0"/>
        <v>0.0155432138127905-0.0349642427365964i</v>
      </c>
      <c r="S29" t="str">
        <f t="shared" si="9"/>
        <v>0.0605698356694098-0.136251000749812i</v>
      </c>
      <c r="U29">
        <f t="shared" si="10"/>
        <v>6.0569835669409801E-2</v>
      </c>
      <c r="V29">
        <f t="shared" si="11"/>
        <v>-0.136251000749812</v>
      </c>
      <c r="W29" s="64">
        <f t="shared" si="12"/>
        <v>8000</v>
      </c>
      <c r="X29" s="84">
        <f t="shared" si="1"/>
        <v>-16.530011467887498</v>
      </c>
      <c r="Y29" s="84">
        <f t="shared" si="2"/>
        <v>-66.032652890585425</v>
      </c>
      <c r="AB29" t="str">
        <f t="shared" si="13"/>
        <v>-0.00221238938053097+0.0936944953809363i</v>
      </c>
      <c r="AD29">
        <f t="shared" si="14"/>
        <v>8000</v>
      </c>
      <c r="AE29" s="83">
        <f t="shared" si="15"/>
        <v>-20.563297673245415</v>
      </c>
      <c r="AF29" s="83">
        <f t="shared" si="16"/>
        <v>91.352662421085114</v>
      </c>
      <c r="AH29" t="str">
        <f t="shared" si="17"/>
        <v>-1.00221238938053+0.0936944953809363i</v>
      </c>
      <c r="AI29" t="str">
        <f t="shared" si="18"/>
        <v>-3.37084328374041+4.50642299770043i</v>
      </c>
      <c r="AJ29" t="str">
        <f t="shared" si="24"/>
        <v>9002.36086278974-9949.93041581589i</v>
      </c>
      <c r="AK29" s="83">
        <f t="shared" si="19"/>
        <v>-3.3708432837404101</v>
      </c>
      <c r="AL29" s="83">
        <f t="shared" si="4"/>
        <v>4.5064229977004304</v>
      </c>
      <c r="AM29" s="83">
        <f t="shared" si="20"/>
        <v>8000</v>
      </c>
      <c r="AN29" s="83">
        <f t="shared" si="5"/>
        <v>15.006539966927779</v>
      </c>
      <c r="AO29" s="83">
        <f t="shared" si="6"/>
        <v>-53.203194394913446</v>
      </c>
      <c r="AR29" t="str">
        <f t="shared" si="7"/>
        <v>0.409833219475161+0.732234071207978i</v>
      </c>
      <c r="AT29">
        <f t="shared" si="8"/>
        <v>8000</v>
      </c>
      <c r="AU29">
        <f t="shared" si="21"/>
        <v>-1.5234715009597148</v>
      </c>
      <c r="AV29">
        <f t="shared" si="22"/>
        <v>60.764152714501158</v>
      </c>
    </row>
    <row r="30" spans="1:48" ht="21" x14ac:dyDescent="0.35">
      <c r="A30" s="1"/>
      <c r="B30" s="1"/>
      <c r="C30" s="85" t="s">
        <v>190</v>
      </c>
      <c r="D30" s="86">
        <f>'Step 5 - Loop Stability'!D37</f>
        <v>4.7</v>
      </c>
      <c r="E30" s="81" t="s">
        <v>72</v>
      </c>
      <c r="F30" s="82">
        <f>D30*0.000000001</f>
        <v>4.7000000000000007E-9</v>
      </c>
      <c r="G30" s="1"/>
      <c r="J30" s="1"/>
      <c r="P30">
        <f t="shared" si="25"/>
        <v>9000</v>
      </c>
      <c r="R30" t="str">
        <f t="shared" si="0"/>
        <v>0.0154040413565671-0.0310816737495613i</v>
      </c>
      <c r="S30" t="str">
        <f t="shared" si="9"/>
        <v>0.0600274991291879-0.121121146116638i</v>
      </c>
      <c r="U30">
        <f t="shared" si="10"/>
        <v>6.0027499129187901E-2</v>
      </c>
      <c r="V30">
        <f t="shared" si="11"/>
        <v>-0.121121146116638</v>
      </c>
      <c r="W30" s="64">
        <f t="shared" si="12"/>
        <v>9000</v>
      </c>
      <c r="X30" s="84">
        <f t="shared" si="1"/>
        <v>-17.381751089329605</v>
      </c>
      <c r="Y30" s="84">
        <f t="shared" si="2"/>
        <v>-63.637038218044708</v>
      </c>
      <c r="AB30" t="str">
        <f t="shared" si="13"/>
        <v>-0.00221238938053097+0.0832839958941657i</v>
      </c>
      <c r="AD30">
        <f t="shared" si="14"/>
        <v>9000</v>
      </c>
      <c r="AE30" s="83">
        <f t="shared" si="15"/>
        <v>-21.585705324934104</v>
      </c>
      <c r="AF30" s="83">
        <f t="shared" si="16"/>
        <v>91.521670141649693</v>
      </c>
      <c r="AH30" t="str">
        <f t="shared" si="17"/>
        <v>-1.00221238938053+0.0832839958941657i</v>
      </c>
      <c r="AI30" t="str">
        <f t="shared" si="18"/>
        <v>-2.94124502498249+4.35120798882249i</v>
      </c>
      <c r="AJ30" t="str">
        <f t="shared" si="24"/>
        <v>7855.05194753413-9767.09045183277i</v>
      </c>
      <c r="AK30" s="83">
        <f t="shared" si="19"/>
        <v>-2.9412450249824902</v>
      </c>
      <c r="AL30" s="83">
        <f t="shared" si="4"/>
        <v>4.3512079888224902</v>
      </c>
      <c r="AM30" s="83">
        <f t="shared" si="20"/>
        <v>9000</v>
      </c>
      <c r="AN30" s="83">
        <f t="shared" si="5"/>
        <v>14.406561933436794</v>
      </c>
      <c r="AO30" s="83">
        <f t="shared" si="6"/>
        <v>-55.942857310644897</v>
      </c>
      <c r="AR30" t="str">
        <f t="shared" si="7"/>
        <v>0.350467715422187+0.617439102195696i</v>
      </c>
      <c r="AT30">
        <f t="shared" si="8"/>
        <v>9000</v>
      </c>
      <c r="AU30">
        <f t="shared" si="21"/>
        <v>-2.9751891558928136</v>
      </c>
      <c r="AV30">
        <f t="shared" si="22"/>
        <v>60.420104471310367</v>
      </c>
    </row>
    <row r="31" spans="1:48" ht="21" x14ac:dyDescent="0.35">
      <c r="A31" s="1"/>
      <c r="B31" s="1"/>
      <c r="C31" s="85" t="s">
        <v>235</v>
      </c>
      <c r="D31" s="86">
        <f>'Step 5 - Loop Stability'!D39</f>
        <v>0.1</v>
      </c>
      <c r="E31" s="81" t="s">
        <v>71</v>
      </c>
      <c r="F31" s="82">
        <f>D31*1000</f>
        <v>100</v>
      </c>
      <c r="G31" s="1"/>
      <c r="J31" s="1"/>
      <c r="P31">
        <f t="shared" si="25"/>
        <v>10000</v>
      </c>
      <c r="R31" t="str">
        <f t="shared" si="0"/>
        <v>0.0153044792223941-0.0279750174040484i</v>
      </c>
      <c r="S31" t="str">
        <f t="shared" si="9"/>
        <v>0.059639518742481-0.10901491978562i</v>
      </c>
      <c r="U31">
        <f t="shared" si="10"/>
        <v>5.9639518742481003E-2</v>
      </c>
      <c r="V31">
        <f t="shared" si="11"/>
        <v>-0.10901491978562</v>
      </c>
      <c r="W31" s="64">
        <f t="shared" si="12"/>
        <v>10000</v>
      </c>
      <c r="X31" s="84">
        <f t="shared" si="1"/>
        <v>-18.113210632079809</v>
      </c>
      <c r="Y31" s="84">
        <f t="shared" si="2"/>
        <v>-61.317959803902127</v>
      </c>
      <c r="AB31" t="str">
        <f t="shared" si="13"/>
        <v>-0.00221238938053097+0.0749555963047491i</v>
      </c>
      <c r="AD31">
        <f t="shared" si="14"/>
        <v>10000</v>
      </c>
      <c r="AE31" s="83">
        <f t="shared" si="15"/>
        <v>-22.500136828251751</v>
      </c>
      <c r="AF31" s="83">
        <f t="shared" si="16"/>
        <v>91.690651380191852</v>
      </c>
      <c r="AH31" t="str">
        <f t="shared" si="17"/>
        <v>-1.00221238938053+0.0749555963047491i</v>
      </c>
      <c r="AI31" t="str">
        <f t="shared" si="18"/>
        <v>-2.5745315648546+4.18151914882639i</v>
      </c>
      <c r="AJ31" t="str">
        <f t="shared" si="24"/>
        <v>6875.68666014815-9499.2587044866i</v>
      </c>
      <c r="AK31" s="83">
        <f t="shared" si="19"/>
        <v>-2.5745315648545999</v>
      </c>
      <c r="AL31" s="83">
        <f t="shared" si="4"/>
        <v>4.1815191488263901</v>
      </c>
      <c r="AM31" s="83">
        <f t="shared" si="20"/>
        <v>10000</v>
      </c>
      <c r="AN31" s="83">
        <f t="shared" si="5"/>
        <v>13.822569225819519</v>
      </c>
      <c r="AO31" s="83">
        <f t="shared" si="6"/>
        <v>-58.379688718047262</v>
      </c>
      <c r="AR31" t="str">
        <f t="shared" si="7"/>
        <v>0.302304151076088+0.530046141676646i</v>
      </c>
      <c r="AT31">
        <f t="shared" si="8"/>
        <v>10000</v>
      </c>
      <c r="AU31">
        <f t="shared" si="21"/>
        <v>-4.2906414062602867</v>
      </c>
      <c r="AV31">
        <f t="shared" si="22"/>
        <v>60.302351478050639</v>
      </c>
    </row>
    <row r="32" spans="1:48" ht="21" x14ac:dyDescent="0.35">
      <c r="A32" s="1"/>
      <c r="B32" s="1"/>
      <c r="C32" s="20"/>
      <c r="D32" s="68"/>
      <c r="E32" s="22"/>
      <c r="F32" s="118"/>
      <c r="G32" s="1"/>
      <c r="H32" s="1"/>
      <c r="J32" s="1"/>
      <c r="P32">
        <f t="shared" si="25"/>
        <v>20000</v>
      </c>
      <c r="R32" t="str">
        <f t="shared" si="0"/>
        <v>0.0149860702106576-0.0139899249087262i</v>
      </c>
      <c r="S32" t="str">
        <f t="shared" si="9"/>
        <v>0.058398721199011-0.0545168755287681i</v>
      </c>
      <c r="U32">
        <f t="shared" si="10"/>
        <v>5.8398721199011003E-2</v>
      </c>
      <c r="V32">
        <f t="shared" si="11"/>
        <v>-5.4516875528768098E-2</v>
      </c>
      <c r="W32" s="64">
        <f t="shared" si="12"/>
        <v>20000</v>
      </c>
      <c r="X32" s="84">
        <f t="shared" si="1"/>
        <v>-21.950091523611523</v>
      </c>
      <c r="Y32" s="84">
        <f t="shared" si="2"/>
        <v>-43.031044238969926</v>
      </c>
      <c r="AB32" t="str">
        <f t="shared" si="13"/>
        <v>-0.00221238938053097+0.0374777981523746i</v>
      </c>
      <c r="AD32">
        <f t="shared" si="14"/>
        <v>20000</v>
      </c>
      <c r="AE32" s="83">
        <f t="shared" si="15"/>
        <v>-28.509410757188093</v>
      </c>
      <c r="AF32" s="83">
        <f t="shared" si="16"/>
        <v>93.378363814773493</v>
      </c>
      <c r="AH32" t="str">
        <f t="shared" si="17"/>
        <v>-1.00221238938053+0.0374777981523746i</v>
      </c>
      <c r="AI32" t="str">
        <f t="shared" si="18"/>
        <v>-0.867246746668529+2.70863702225715i</v>
      </c>
      <c r="AJ32" t="str">
        <f t="shared" si="24"/>
        <v>2316.11721857543-6399.76710302556i</v>
      </c>
      <c r="AK32" s="83">
        <f t="shared" si="19"/>
        <v>-0.86724674666852897</v>
      </c>
      <c r="AL32" s="83">
        <f t="shared" si="4"/>
        <v>2.7086370222571499</v>
      </c>
      <c r="AM32" s="83">
        <f t="shared" si="20"/>
        <v>20000</v>
      </c>
      <c r="AN32" s="83">
        <f t="shared" si="5"/>
        <v>9.0788578530733695</v>
      </c>
      <c r="AO32" s="83">
        <f t="shared" si="6"/>
        <v>-72.246062915984638</v>
      </c>
      <c r="AR32" t="str">
        <f t="shared" si="7"/>
        <v>0.0970203264255614+0.205460521232972i</v>
      </c>
      <c r="AT32">
        <f t="shared" si="8"/>
        <v>20000</v>
      </c>
      <c r="AU32">
        <f t="shared" si="21"/>
        <v>-12.871233670538151</v>
      </c>
      <c r="AV32">
        <f t="shared" si="22"/>
        <v>64.72289284504545</v>
      </c>
    </row>
    <row r="33" spans="1:48" ht="21" x14ac:dyDescent="0.35">
      <c r="A33" s="1"/>
      <c r="B33" s="1"/>
      <c r="C33" s="85" t="s">
        <v>248</v>
      </c>
      <c r="D33" s="78">
        <f>1/(10000*F28*F30*6.28)</f>
        <v>7.4955596304749045E-2</v>
      </c>
      <c r="E33" s="81" t="s">
        <v>27</v>
      </c>
      <c r="F33" s="420" t="s">
        <v>274</v>
      </c>
      <c r="G33" s="421"/>
      <c r="J33" s="1"/>
      <c r="P33">
        <f t="shared" si="25"/>
        <v>30000</v>
      </c>
      <c r="R33" t="str">
        <f t="shared" si="0"/>
        <v>0.0149270935066826-0.00932691496401325i</v>
      </c>
      <c r="S33" t="str">
        <f t="shared" si="9"/>
        <v>0.0581688968324987-0.0363457463480276i</v>
      </c>
      <c r="U33">
        <f t="shared" si="10"/>
        <v>5.81688968324987E-2</v>
      </c>
      <c r="V33">
        <f t="shared" si="11"/>
        <v>-3.6345746348027598E-2</v>
      </c>
      <c r="W33" s="64">
        <f t="shared" si="12"/>
        <v>30000</v>
      </c>
      <c r="X33" s="84">
        <f t="shared" si="1"/>
        <v>-23.274741722495712</v>
      </c>
      <c r="Y33" s="84">
        <f t="shared" si="2"/>
        <v>-31.998431230215271</v>
      </c>
      <c r="AB33" t="str">
        <f t="shared" si="13"/>
        <v>-0.00221238938053097+0.0249851987682498i</v>
      </c>
      <c r="AD33">
        <f t="shared" si="14"/>
        <v>30000</v>
      </c>
      <c r="AE33" s="83">
        <f t="shared" si="15"/>
        <v>-32.012424689459934</v>
      </c>
      <c r="AF33" s="83">
        <f t="shared" si="16"/>
        <v>95.060228896671617</v>
      </c>
      <c r="AH33" t="str">
        <f t="shared" si="17"/>
        <v>-1.00221238938053+0.0249851987682498i</v>
      </c>
      <c r="AI33" t="str">
        <f t="shared" si="18"/>
        <v>-0.411946779386405+1.91560868876241i</v>
      </c>
      <c r="AJ33" t="str">
        <f t="shared" si="24"/>
        <v>1100.167896321-4559.8846989773i</v>
      </c>
      <c r="AK33" s="83">
        <f t="shared" si="19"/>
        <v>-0.411946779386405</v>
      </c>
      <c r="AL33" s="83">
        <f t="shared" si="4"/>
        <v>1.91560868876241</v>
      </c>
      <c r="AM33" s="83">
        <f t="shared" si="20"/>
        <v>30000</v>
      </c>
      <c r="AN33" s="83">
        <f t="shared" si="5"/>
        <v>5.8424716187285135</v>
      </c>
      <c r="AO33" s="83">
        <f t="shared" si="6"/>
        <v>-77.863520840705092</v>
      </c>
      <c r="AR33" t="str">
        <f t="shared" si="7"/>
        <v>0.0456617377932284+0.126401357340524i</v>
      </c>
      <c r="AT33">
        <f t="shared" si="8"/>
        <v>30000</v>
      </c>
      <c r="AU33">
        <f t="shared" si="21"/>
        <v>-17.432270103767195</v>
      </c>
      <c r="AV33">
        <f t="shared" si="22"/>
        <v>70.138047929079647</v>
      </c>
    </row>
    <row r="34" spans="1:48" ht="21" x14ac:dyDescent="0.35">
      <c r="A34" s="1"/>
      <c r="B34" s="1"/>
      <c r="C34" s="85" t="s">
        <v>250</v>
      </c>
      <c r="D34" s="91">
        <f>1/(6.28*F31*F30)</f>
        <v>338799.29529746575</v>
      </c>
      <c r="E34" s="81" t="s">
        <v>27</v>
      </c>
      <c r="F34" s="476" t="s">
        <v>278</v>
      </c>
      <c r="G34" s="477"/>
      <c r="J34" s="1"/>
      <c r="P34">
        <f t="shared" si="25"/>
        <v>40000</v>
      </c>
      <c r="R34" t="str">
        <f t="shared" si="0"/>
        <v>0.0149064507688331-0.00699526454541872i</v>
      </c>
      <c r="S34" t="str">
        <f t="shared" si="9"/>
        <v>0.0580884548303253-0.0272596149730242i</v>
      </c>
      <c r="U34">
        <f t="shared" si="10"/>
        <v>5.8088454830325299E-2</v>
      </c>
      <c r="V34">
        <f t="shared" si="11"/>
        <v>-2.7259614973024201E-2</v>
      </c>
      <c r="W34" s="64">
        <f t="shared" si="12"/>
        <v>40000</v>
      </c>
      <c r="X34" s="84">
        <f t="shared" si="1"/>
        <v>-23.853816659807279</v>
      </c>
      <c r="Y34" s="84">
        <f t="shared" si="2"/>
        <v>-25.139616969575282</v>
      </c>
      <c r="AB34" t="str">
        <f t="shared" si="13"/>
        <v>-0.00221238938053097+0.0187388990761873i</v>
      </c>
      <c r="AD34">
        <f t="shared" si="14"/>
        <v>40000</v>
      </c>
      <c r="AE34" s="83">
        <f t="shared" si="15"/>
        <v>-34.484999813096032</v>
      </c>
      <c r="AF34" s="83">
        <f t="shared" si="16"/>
        <v>96.733398506898169</v>
      </c>
      <c r="AH34" t="str">
        <f t="shared" si="17"/>
        <v>-1.00221238938053+0.0187388990761873i</v>
      </c>
      <c r="AI34" t="str">
        <f t="shared" si="18"/>
        <v>-0.237434312873684+1.46828511326442i</v>
      </c>
      <c r="AJ34" t="str">
        <f t="shared" si="24"/>
        <v>634.105232956905-3504.24907443154i</v>
      </c>
      <c r="AK34" s="83">
        <f t="shared" si="19"/>
        <v>-0.23743431287368399</v>
      </c>
      <c r="AL34" s="83">
        <f t="shared" si="4"/>
        <v>1.4682851132644199</v>
      </c>
      <c r="AM34" s="83">
        <f t="shared" si="20"/>
        <v>40000</v>
      </c>
      <c r="AN34" s="83">
        <f t="shared" si="5"/>
        <v>3.4483149989408868</v>
      </c>
      <c r="AO34" s="83">
        <f t="shared" si="6"/>
        <v>-80.814297259662453</v>
      </c>
      <c r="AR34" t="str">
        <f t="shared" si="7"/>
        <v>0.026232694499679+0.0917627814302205i</v>
      </c>
      <c r="AT34">
        <f t="shared" si="8"/>
        <v>40000</v>
      </c>
      <c r="AU34">
        <f t="shared" si="21"/>
        <v>-20.405501660866392</v>
      </c>
      <c r="AV34">
        <f t="shared" si="22"/>
        <v>74.046085770762275</v>
      </c>
    </row>
    <row r="35" spans="1:48" x14ac:dyDescent="0.25">
      <c r="A35" s="1"/>
      <c r="B35" s="1"/>
      <c r="C35" s="94"/>
      <c r="D35" s="95"/>
      <c r="E35" s="96"/>
      <c r="F35" s="95"/>
      <c r="G35" s="1"/>
      <c r="H35" s="1"/>
      <c r="J35" s="1"/>
      <c r="P35">
        <f t="shared" si="25"/>
        <v>50000</v>
      </c>
      <c r="R35" t="str">
        <f t="shared" si="0"/>
        <v>0.0148968959736746-0.00559624063847904i</v>
      </c>
      <c r="S35" t="str">
        <f t="shared" si="9"/>
        <v>0.0580512210651866-0.0218078049959151i</v>
      </c>
      <c r="U35">
        <f t="shared" si="10"/>
        <v>5.8051221065186599E-2</v>
      </c>
      <c r="V35">
        <f t="shared" si="11"/>
        <v>-2.18078049959151E-2</v>
      </c>
      <c r="W35" s="64">
        <f t="shared" si="12"/>
        <v>50000</v>
      </c>
      <c r="X35" s="84">
        <f t="shared" si="1"/>
        <v>-24.150444031731833</v>
      </c>
      <c r="Y35" s="84">
        <f t="shared" si="2"/>
        <v>-20.589436113890077</v>
      </c>
      <c r="AB35" t="str">
        <f t="shared" si="13"/>
        <v>-0.00221238938053097+0.0149911192609498i</v>
      </c>
      <c r="AD35">
        <f t="shared" si="14"/>
        <v>50000</v>
      </c>
      <c r="AE35" s="83">
        <f t="shared" si="15"/>
        <v>-36.389745449899785</v>
      </c>
      <c r="AF35" s="83">
        <f t="shared" si="16"/>
        <v>98.39511302390018</v>
      </c>
      <c r="AH35" t="str">
        <f t="shared" si="17"/>
        <v>-1.00221238938053+0.0149911192609498i</v>
      </c>
      <c r="AI35" t="str">
        <f t="shared" si="18"/>
        <v>-0.153712453003069+1.18674788422876i</v>
      </c>
      <c r="AJ35" t="str">
        <f t="shared" si="24"/>
        <v>410.51299468979-2835.76705197602i</v>
      </c>
      <c r="AK35" s="83">
        <f t="shared" si="19"/>
        <v>-0.15371245300306899</v>
      </c>
      <c r="AL35" s="83">
        <f t="shared" si="4"/>
        <v>1.18674788422876</v>
      </c>
      <c r="AM35" s="83">
        <f t="shared" si="20"/>
        <v>50000</v>
      </c>
      <c r="AN35" s="83">
        <f t="shared" si="5"/>
        <v>1.5594242928698387</v>
      </c>
      <c r="AO35" s="83">
        <f t="shared" si="6"/>
        <v>-82.619903342303985</v>
      </c>
      <c r="AR35" t="str">
        <f t="shared" si="7"/>
        <v>0.0169571708488224+0.0722442949765409i</v>
      </c>
      <c r="AT35">
        <f t="shared" si="8"/>
        <v>50000</v>
      </c>
      <c r="AU35">
        <f t="shared" si="21"/>
        <v>-22.591019738861995</v>
      </c>
      <c r="AV35">
        <f t="shared" si="22"/>
        <v>76.790660543805913</v>
      </c>
    </row>
    <row r="36" spans="1:48" ht="31.5" x14ac:dyDescent="0.25">
      <c r="A36" s="1"/>
      <c r="B36" s="1"/>
      <c r="C36" s="462" t="s">
        <v>229</v>
      </c>
      <c r="D36" s="462"/>
      <c r="E36" s="462"/>
      <c r="F36" s="462"/>
      <c r="G36" s="1"/>
      <c r="J36" s="1"/>
      <c r="P36">
        <f t="shared" si="25"/>
        <v>60000</v>
      </c>
      <c r="R36" t="str">
        <f t="shared" si="0"/>
        <v>0.0148917056730663-0.00466354699404681i</v>
      </c>
      <c r="S36" t="str">
        <f t="shared" si="9"/>
        <v>0.058030995154464-0.0181732219905217i</v>
      </c>
      <c r="U36">
        <f t="shared" si="10"/>
        <v>5.8030995154463999E-2</v>
      </c>
      <c r="V36">
        <f t="shared" si="11"/>
        <v>-1.8173221990521699E-2</v>
      </c>
      <c r="W36" s="64">
        <f t="shared" si="12"/>
        <v>60000</v>
      </c>
      <c r="X36" s="84">
        <f t="shared" si="1"/>
        <v>-24.320492537261931</v>
      </c>
      <c r="Y36" s="84">
        <f t="shared" si="2"/>
        <v>-17.388680824615527</v>
      </c>
      <c r="AB36" t="str">
        <f t="shared" si="13"/>
        <v>-0.00221238938053097+0.0124925993841248i</v>
      </c>
      <c r="AD36">
        <f t="shared" si="14"/>
        <v>60000</v>
      </c>
      <c r="AE36" s="83">
        <f t="shared" si="15"/>
        <v>-37.932828294947583</v>
      </c>
      <c r="AF36" s="83">
        <f t="shared" si="16"/>
        <v>100.04272731417977</v>
      </c>
      <c r="AH36" t="str">
        <f t="shared" si="17"/>
        <v>-1.00221238938053+0.0124925993841248i</v>
      </c>
      <c r="AI36" t="str">
        <f t="shared" si="18"/>
        <v>-0.107418471759166+0.994541267537135i</v>
      </c>
      <c r="AJ36" t="str">
        <f t="shared" si="24"/>
        <v>286.877723081911-2378.05401217956i</v>
      </c>
      <c r="AK36" s="83">
        <f t="shared" si="19"/>
        <v>-0.107418471759166</v>
      </c>
      <c r="AL36" s="83">
        <f t="shared" si="4"/>
        <v>0.99454126753713501</v>
      </c>
      <c r="AM36" s="83">
        <f t="shared" si="20"/>
        <v>60000</v>
      </c>
      <c r="AN36" s="83">
        <f t="shared" si="5"/>
        <v>2.8266015584744418E-3</v>
      </c>
      <c r="AO36" s="83">
        <f t="shared" si="6"/>
        <v>-83.835491142732991</v>
      </c>
      <c r="AR36" t="str">
        <f t="shared" si="7"/>
        <v>0.0118404184195311+0.0596663592105239i</v>
      </c>
      <c r="AT36">
        <f t="shared" si="8"/>
        <v>60000</v>
      </c>
      <c r="AU36">
        <f t="shared" si="21"/>
        <v>-24.317665935703452</v>
      </c>
      <c r="AV36">
        <f t="shared" si="22"/>
        <v>78.775828032651503</v>
      </c>
    </row>
    <row r="37" spans="1:48" ht="21" x14ac:dyDescent="0.35">
      <c r="A37" s="1"/>
      <c r="B37" s="1"/>
      <c r="C37" s="85" t="s">
        <v>180</v>
      </c>
      <c r="D37" s="86">
        <f>'Step 5 - Loop Stability'!D20</f>
        <v>560</v>
      </c>
      <c r="E37" s="81" t="s">
        <v>253</v>
      </c>
      <c r="F37" s="82">
        <f>6.28*D37*0.000001</f>
        <v>3.5168E-3</v>
      </c>
      <c r="G37" s="1"/>
      <c r="H37" t="s">
        <v>224</v>
      </c>
      <c r="I37" t="str">
        <f>COMPLEX(F38,F37)</f>
        <v>0.015+0.0035168i</v>
      </c>
      <c r="J37" s="1"/>
      <c r="P37">
        <f>10*P28</f>
        <v>70000</v>
      </c>
      <c r="R37" t="str">
        <f t="shared" si="0"/>
        <v>0.0148885760713783-0.00399733278020824i</v>
      </c>
      <c r="S37" t="str">
        <f t="shared" si="9"/>
        <v>0.058018799513187-0.0155770738619011i</v>
      </c>
      <c r="U37">
        <f t="shared" si="10"/>
        <v>5.8018799513187003E-2</v>
      </c>
      <c r="V37">
        <f t="shared" si="11"/>
        <v>-1.5577073861901099E-2</v>
      </c>
      <c r="W37" s="64">
        <f t="shared" si="12"/>
        <v>70000</v>
      </c>
      <c r="X37" s="84">
        <f t="shared" si="1"/>
        <v>-24.426340176408225</v>
      </c>
      <c r="Y37" s="84">
        <f t="shared" si="2"/>
        <v>-15.028543834997867</v>
      </c>
      <c r="AB37" t="str">
        <f t="shared" si="13"/>
        <v>-0.00221238938053097+0.0107079423292499i</v>
      </c>
      <c r="AD37">
        <f t="shared" si="14"/>
        <v>70000</v>
      </c>
      <c r="AE37" s="83">
        <f t="shared" si="15"/>
        <v>-39.224333616183081</v>
      </c>
      <c r="AF37" s="83">
        <f t="shared" si="16"/>
        <v>101.6737339277815</v>
      </c>
      <c r="AH37" t="str">
        <f t="shared" si="17"/>
        <v>-1.00221238938053+0.0107079423292499i</v>
      </c>
      <c r="AI37" t="str">
        <f t="shared" si="18"/>
        <v>-0.0792211774066229+0.855379596086759i</v>
      </c>
      <c r="AJ37" t="str">
        <f t="shared" si="24"/>
        <v>211.572466281535-2046.11871352771i</v>
      </c>
      <c r="AK37" s="83">
        <f t="shared" si="19"/>
        <v>-7.9221177406622906E-2</v>
      </c>
      <c r="AL37" s="83">
        <f t="shared" si="4"/>
        <v>0.85537959608675895</v>
      </c>
      <c r="AM37" s="83">
        <f t="shared" si="20"/>
        <v>70000</v>
      </c>
      <c r="AN37" s="83">
        <f t="shared" si="5"/>
        <v>-1.3197291676077931</v>
      </c>
      <c r="AO37" s="83">
        <f t="shared" si="6"/>
        <v>-84.708632836122945</v>
      </c>
      <c r="AR37" t="str">
        <f t="shared" si="7"/>
        <v>0.0087279935390531+0.0508621314249183i</v>
      </c>
      <c r="AT37">
        <f t="shared" si="8"/>
        <v>70000</v>
      </c>
      <c r="AU37">
        <f t="shared" si="21"/>
        <v>-25.746069344016014</v>
      </c>
      <c r="AV37">
        <f t="shared" si="22"/>
        <v>80.262823328879207</v>
      </c>
    </row>
    <row r="38" spans="1:48" ht="21" x14ac:dyDescent="0.35">
      <c r="A38" s="1"/>
      <c r="B38" s="1"/>
      <c r="C38" s="85" t="s">
        <v>203</v>
      </c>
      <c r="D38" s="86">
        <f>'Step 5 - Loop Stability'!D21</f>
        <v>15</v>
      </c>
      <c r="E38" s="55" t="s">
        <v>252</v>
      </c>
      <c r="F38" s="82">
        <f>D38/1000</f>
        <v>1.4999999999999999E-2</v>
      </c>
      <c r="G38" s="1"/>
      <c r="J38" s="1"/>
      <c r="P38">
        <f t="shared" si="25"/>
        <v>80000</v>
      </c>
      <c r="R38" t="str">
        <f t="shared" si="0"/>
        <v>0.0148865448338277-0.00349767003612982i</v>
      </c>
      <c r="S38" t="str">
        <f t="shared" si="9"/>
        <v>0.0580108840507783-0.0136299546455359i</v>
      </c>
      <c r="U38">
        <f t="shared" si="10"/>
        <v>5.8010884050778297E-2</v>
      </c>
      <c r="V38">
        <f t="shared" si="11"/>
        <v>-1.36299546455359E-2</v>
      </c>
      <c r="W38" s="64">
        <f t="shared" si="12"/>
        <v>80000</v>
      </c>
      <c r="X38" s="84">
        <f t="shared" si="1"/>
        <v>-24.49644639643514</v>
      </c>
      <c r="Y38" s="84">
        <f t="shared" si="2"/>
        <v>-13.222114703881855</v>
      </c>
      <c r="AB38" t="str">
        <f t="shared" si="13"/>
        <v>-0.00221238938053097+0.00936944953809363i</v>
      </c>
      <c r="AD38">
        <f t="shared" si="14"/>
        <v>80000</v>
      </c>
      <c r="AE38" s="83">
        <f t="shared" si="15"/>
        <v>-40.330081108310331</v>
      </c>
      <c r="AF38" s="83">
        <f t="shared" si="16"/>
        <v>103.28578304641147</v>
      </c>
      <c r="AH38" t="str">
        <f t="shared" si="17"/>
        <v>-1.00221238938053+0.00936944953809363i</v>
      </c>
      <c r="AI38" t="str">
        <f t="shared" si="18"/>
        <v>-0.0608044734405922+0.750123427726402i</v>
      </c>
      <c r="AJ38" t="str">
        <f t="shared" si="24"/>
        <v>162.387796141246-1794.80393711122i</v>
      </c>
      <c r="AK38" s="83">
        <f t="shared" si="19"/>
        <v>-6.0804473440592199E-2</v>
      </c>
      <c r="AL38" s="83">
        <f t="shared" si="4"/>
        <v>0.75012342772640195</v>
      </c>
      <c r="AM38" s="83">
        <f t="shared" si="20"/>
        <v>80000</v>
      </c>
      <c r="AN38" s="83">
        <f t="shared" si="5"/>
        <v>-2.4689029593697072</v>
      </c>
      <c r="AO38" s="83">
        <f t="shared" si="6"/>
        <v>-85.365776883683964</v>
      </c>
      <c r="AR38" t="str">
        <f t="shared" si="7"/>
        <v>0.00669682703993396+0.0443440854048496i</v>
      </c>
      <c r="AT38">
        <f t="shared" si="8"/>
        <v>80000</v>
      </c>
      <c r="AU38">
        <f t="shared" si="21"/>
        <v>-26.965349355804854</v>
      </c>
      <c r="AV38">
        <f t="shared" si="22"/>
        <v>81.412108412434179</v>
      </c>
    </row>
    <row r="39" spans="1:48" ht="21" x14ac:dyDescent="0.35">
      <c r="A39" s="1"/>
      <c r="B39" s="1"/>
      <c r="C39" s="20"/>
      <c r="D39" s="68"/>
      <c r="E39" s="22"/>
      <c r="F39" s="68"/>
      <c r="G39" s="1"/>
      <c r="H39" s="1"/>
      <c r="J39" s="1"/>
      <c r="P39">
        <f t="shared" si="25"/>
        <v>90000</v>
      </c>
      <c r="R39" t="str">
        <f t="shared" si="0"/>
        <v>0.0148851522214641-0.00310904238048509i</v>
      </c>
      <c r="S39" t="str">
        <f t="shared" si="9"/>
        <v>0.0580054572257323-0.0121155243917605i</v>
      </c>
      <c r="U39">
        <f t="shared" si="10"/>
        <v>5.8005457225732297E-2</v>
      </c>
      <c r="V39">
        <f t="shared" si="11"/>
        <v>-1.21155243917605E-2</v>
      </c>
      <c r="W39" s="64">
        <f t="shared" si="12"/>
        <v>90000</v>
      </c>
      <c r="X39" s="84">
        <f t="shared" si="1"/>
        <v>-24.545173453547513</v>
      </c>
      <c r="Y39" s="84">
        <f t="shared" si="2"/>
        <v>-11.79768402146957</v>
      </c>
      <c r="AB39" t="str">
        <f t="shared" si="13"/>
        <v>-0.00221238938053097+0.00832839958941657i</v>
      </c>
      <c r="AD39">
        <f t="shared" si="14"/>
        <v>90000</v>
      </c>
      <c r="AE39" s="83">
        <f t="shared" si="15"/>
        <v>-41.292631472375668</v>
      </c>
      <c r="AF39" s="83">
        <f t="shared" si="16"/>
        <v>104.87669886953469</v>
      </c>
      <c r="AH39" t="str">
        <f t="shared" si="17"/>
        <v>-1.00221238938053+0.00832839958941657i</v>
      </c>
      <c r="AI39" t="str">
        <f t="shared" si="18"/>
        <v>-0.0481250508129772+0.667796105818572i</v>
      </c>
      <c r="AJ39" t="str">
        <f t="shared" si="24"/>
        <v>128.525427464482-1598.10461317209i</v>
      </c>
      <c r="AK39" s="83">
        <f t="shared" si="19"/>
        <v>-4.8125050812977202E-2</v>
      </c>
      <c r="AL39" s="83">
        <f t="shared" si="4"/>
        <v>0.66779610581857196</v>
      </c>
      <c r="AM39" s="83">
        <f t="shared" si="20"/>
        <v>90000</v>
      </c>
      <c r="AN39" s="83">
        <f t="shared" si="5"/>
        <v>-3.4846259243857922</v>
      </c>
      <c r="AO39" s="83">
        <f t="shared" si="6"/>
        <v>-85.878077601218322</v>
      </c>
      <c r="AR39" t="str">
        <f t="shared" si="7"/>
        <v>0.00529918443234924+0.0393188786785491i</v>
      </c>
      <c r="AT39">
        <f t="shared" si="8"/>
        <v>90000</v>
      </c>
      <c r="AU39">
        <f t="shared" si="21"/>
        <v>-28.029799377933308</v>
      </c>
      <c r="AV39">
        <f t="shared" si="22"/>
        <v>82.324238377312113</v>
      </c>
    </row>
    <row r="40" spans="1:48" ht="21" x14ac:dyDescent="0.35">
      <c r="A40" s="1"/>
      <c r="B40" s="1"/>
      <c r="C40" s="20"/>
      <c r="D40" s="68"/>
      <c r="E40" s="22"/>
      <c r="F40" s="68"/>
      <c r="G40" s="1"/>
      <c r="H40" s="1"/>
      <c r="J40" s="1"/>
      <c r="P40">
        <f t="shared" si="25"/>
        <v>100000</v>
      </c>
      <c r="R40" t="str">
        <f t="shared" si="0"/>
        <v>0.0148841560927416-0.00279813965423606i</v>
      </c>
      <c r="S40" t="str">
        <f t="shared" si="9"/>
        <v>0.0580015754446699-0.0109039778438659i</v>
      </c>
      <c r="U40">
        <f t="shared" si="10"/>
        <v>5.8001575444669898E-2</v>
      </c>
      <c r="V40">
        <f t="shared" si="11"/>
        <v>-1.0903977843865899E-2</v>
      </c>
      <c r="W40" s="64">
        <f t="shared" si="12"/>
        <v>100000</v>
      </c>
      <c r="X40" s="84">
        <f t="shared" si="1"/>
        <v>-24.580366144533684</v>
      </c>
      <c r="Y40" s="84">
        <f t="shared" si="2"/>
        <v>-10.647023979146676</v>
      </c>
      <c r="AB40" t="str">
        <f t="shared" si="13"/>
        <v>-0.00221238938053097+0.00749555963047491i</v>
      </c>
      <c r="AD40">
        <f t="shared" si="14"/>
        <v>100000</v>
      </c>
      <c r="AE40" s="83">
        <f t="shared" si="15"/>
        <v>-42.141146168030801</v>
      </c>
      <c r="AF40" s="83">
        <f t="shared" si="16"/>
        <v>106.44449226584106</v>
      </c>
      <c r="AH40" t="str">
        <f t="shared" si="17"/>
        <v>-1.00221238938053+0.00749555963047491i</v>
      </c>
      <c r="AI40" t="str">
        <f t="shared" si="18"/>
        <v>-0.0390289461254422+0.601674883092072i</v>
      </c>
      <c r="AJ40" t="str">
        <f t="shared" si="24"/>
        <v>104.23286624163-1440.05247894478i</v>
      </c>
      <c r="AK40" s="83">
        <f t="shared" si="19"/>
        <v>-3.90289461254422E-2</v>
      </c>
      <c r="AL40" s="83">
        <f t="shared" si="4"/>
        <v>0.60167488309207195</v>
      </c>
      <c r="AM40" s="83">
        <f t="shared" si="20"/>
        <v>100000</v>
      </c>
      <c r="AN40" s="83">
        <f t="shared" si="5"/>
        <v>-4.3945266694665612</v>
      </c>
      <c r="AO40" s="83">
        <f t="shared" si="6"/>
        <v>-86.288584746793376</v>
      </c>
      <c r="AR40" t="str">
        <f t="shared" si="7"/>
        <v>0.00429690923122577+0.035323661888649i</v>
      </c>
      <c r="AT40">
        <f t="shared" si="8"/>
        <v>100000</v>
      </c>
      <c r="AU40">
        <f t="shared" si="21"/>
        <v>-28.974892814000249</v>
      </c>
      <c r="AV40">
        <f t="shared" si="22"/>
        <v>83.064391274059943</v>
      </c>
    </row>
    <row r="41" spans="1:48" ht="21" x14ac:dyDescent="0.35">
      <c r="A41" s="1"/>
      <c r="B41" s="1"/>
      <c r="C41" s="473" t="s">
        <v>245</v>
      </c>
      <c r="D41" s="473"/>
      <c r="E41" s="92">
        <f>'Step 5 - Loop Stability'!E23</f>
        <v>0.01</v>
      </c>
      <c r="F41" s="82" t="s">
        <v>29</v>
      </c>
      <c r="G41" s="1"/>
      <c r="J41" s="1"/>
    </row>
    <row r="42" spans="1:48" ht="21" x14ac:dyDescent="0.35">
      <c r="A42" s="1"/>
      <c r="B42" s="1"/>
      <c r="C42" s="473" t="s">
        <v>246</v>
      </c>
      <c r="D42" s="473"/>
      <c r="E42" s="93">
        <f>1-E41</f>
        <v>0.99</v>
      </c>
      <c r="F42" s="82" t="s">
        <v>29</v>
      </c>
      <c r="G42" s="1"/>
      <c r="J42" s="1"/>
    </row>
    <row r="43" spans="1:48" ht="21" x14ac:dyDescent="0.35">
      <c r="A43" s="1"/>
      <c r="B43" s="1"/>
      <c r="C43" s="473" t="s">
        <v>247</v>
      </c>
      <c r="D43" s="473"/>
      <c r="E43" s="15">
        <f>MIN(('Step 2 - Operating Conditions'!J8/('Step 2 - Operating Conditions'!J9*'Loop Stability Worksht'!E42)),(D27+D28)*1000)</f>
        <v>1.8585858585858588</v>
      </c>
      <c r="F43" s="55" t="s">
        <v>134</v>
      </c>
      <c r="G43" s="1"/>
      <c r="J43" s="1"/>
      <c r="W43" s="84">
        <v>10</v>
      </c>
      <c r="AB43" t="str">
        <f>COMPLEX($F$31,-1/(6.28*$F$30*W43))</f>
        <v>100-3387992.95297466i</v>
      </c>
    </row>
    <row r="44" spans="1:48" x14ac:dyDescent="0.25">
      <c r="A44" s="1"/>
      <c r="B44" s="1"/>
      <c r="C44" s="1"/>
      <c r="D44" s="66"/>
      <c r="E44" s="65"/>
      <c r="F44" s="66"/>
      <c r="G44" s="1"/>
      <c r="H44" s="1"/>
      <c r="J44" s="1"/>
    </row>
    <row r="45" spans="1:48" x14ac:dyDescent="0.25">
      <c r="A45" s="1"/>
      <c r="B45" s="1"/>
      <c r="C45" s="1"/>
      <c r="D45" s="66"/>
      <c r="E45" s="65"/>
      <c r="F45" s="66"/>
      <c r="G45" s="1"/>
      <c r="H45" s="1"/>
      <c r="J45" s="1"/>
    </row>
    <row r="46" spans="1:48" x14ac:dyDescent="0.25">
      <c r="A46" s="1"/>
      <c r="B46" s="1"/>
      <c r="C46" s="1"/>
      <c r="D46" s="66"/>
      <c r="E46" s="65"/>
      <c r="F46" s="66"/>
      <c r="G46" s="1"/>
      <c r="H46" s="1"/>
      <c r="J46" s="1"/>
    </row>
    <row r="47" spans="1:48" x14ac:dyDescent="0.25">
      <c r="A47" s="1"/>
      <c r="B47" s="1"/>
      <c r="C47" s="1"/>
      <c r="D47" s="66"/>
      <c r="E47" s="65"/>
      <c r="F47" s="66"/>
      <c r="G47" s="1"/>
      <c r="H47" s="1"/>
      <c r="J47" s="1"/>
    </row>
  </sheetData>
  <mergeCells count="20">
    <mergeCell ref="AR2:AV2"/>
    <mergeCell ref="C23:F23"/>
    <mergeCell ref="C36:F36"/>
    <mergeCell ref="C41:D41"/>
    <mergeCell ref="C42:D42"/>
    <mergeCell ref="F24:G24"/>
    <mergeCell ref="F33:G33"/>
    <mergeCell ref="F14:G14"/>
    <mergeCell ref="F15:G15"/>
    <mergeCell ref="F21:G21"/>
    <mergeCell ref="F34:G34"/>
    <mergeCell ref="F9:G9"/>
    <mergeCell ref="F19:G19"/>
    <mergeCell ref="C43:D43"/>
    <mergeCell ref="AH2:AO2"/>
    <mergeCell ref="C5:F5"/>
    <mergeCell ref="C11:F11"/>
    <mergeCell ref="K3:L3"/>
    <mergeCell ref="AB2:AF2"/>
    <mergeCell ref="R2:Y2"/>
  </mergeCells>
  <dataValidations count="13">
    <dataValidation type="decimal" operator="greaterThan" allowBlank="1" showInputMessage="1" showErrorMessage="1" promptTitle="Select Lower Resistor" prompt="Select the lower feedback voltage divider resistor.  Typical values are between 1k and 100k." sqref="D27">
      <formula1>0</formula1>
    </dataValidation>
    <dataValidation type="decimal" operator="greaterThan" allowBlank="1" showInputMessage="1" showErrorMessage="1" promptTitle="R22 Selection" prompt="Select the Value of R22" sqref="D25">
      <formula1>0</formula1>
    </dataValidation>
    <dataValidation type="decimal" errorStyle="warning" allowBlank="1" showInputMessage="1" showErrorMessage="1" error="Percentage must be between 0 and 99.999%" promptTitle="Input Percentage Current Load" prompt="Input Percentage load that is a current source" sqref="E41">
      <formula1>0</formula1>
      <formula2>0.99999</formula2>
    </dataValidation>
    <dataValidation type="decimal" errorStyle="warning" operator="greaterThan" allowBlank="1" showInputMessage="1" showErrorMessage="1" errorTitle="Check CTR" error="Check CTR" promptTitle="Opto CTR" prompt="Opto CTR" sqref="D6">
      <formula1>0</formula1>
    </dataValidation>
    <dataValidation type="decimal" errorStyle="warning" operator="greaterThan" allowBlank="1" showInputMessage="1" showErrorMessage="1" errorTitle="Check Vled" error="Check Vled" promptTitle="Opto Vled" prompt="Opto Vled" sqref="D7">
      <formula1>0</formula1>
    </dataValidation>
    <dataValidation type="decimal" errorStyle="warning" operator="greaterThan" allowBlank="1" showInputMessage="1" showErrorMessage="1" errorTitle="Check Vce" error="Check Vce" promptTitle="Opto Vce_sat" prompt="Opto Vce_sat" sqref="D8">
      <formula1>0</formula1>
    </dataValidation>
    <dataValidation type="decimal" errorStyle="warning" operator="greaterThan" allowBlank="1" showInputMessage="1" showErrorMessage="1" errorTitle="Check value" error="Check value" promptTitle="Opto Effective Output Capacitanc" prompt="In nF" sqref="D9">
      <formula1>0</formula1>
    </dataValidation>
    <dataValidation type="decimal" errorStyle="warning" operator="greaterThan" allowBlank="1" showInputMessage="1" showErrorMessage="1" errorTitle="Check value" error="Check value" promptTitle="Rfb" prompt="Rfb in kOhms" sqref="D18">
      <formula1>0</formula1>
    </dataValidation>
    <dataValidation type="decimal" errorStyle="warning" operator="greaterThan" allowBlank="1" showInputMessage="1" showErrorMessage="1" errorTitle="Check value" error="Check value" promptTitle="Cfb in nF" prompt="Cfb in nF" sqref="D20">
      <formula1>0</formula1>
    </dataValidation>
    <dataValidation type="decimal" errorStyle="warning" operator="greaterThan" allowBlank="1" showInputMessage="1" showErrorMessage="1" errorTitle="Check value" error="Check value" promptTitle="C_Pole " prompt="in nF" sqref="D30">
      <formula1>0</formula1>
    </dataValidation>
    <dataValidation type="decimal" errorStyle="warning" operator="greaterThan" allowBlank="1" showInputMessage="1" showErrorMessage="1" errorTitle="Check value" error="Check value" promptTitle="C_Pole_ESR" prompt="in kOhms" sqref="D31">
      <formula1>0</formula1>
    </dataValidation>
    <dataValidation type="decimal" errorStyle="warning" operator="greaterThan" allowBlank="1" showInputMessage="1" showErrorMessage="1" errorTitle="Check value" error="Check value" promptTitle="Cout" prompt="in uF" sqref="D37">
      <formula1>0</formula1>
    </dataValidation>
    <dataValidation type="decimal" errorStyle="warning" operator="greaterThan" allowBlank="1" showInputMessage="1" showErrorMessage="1" errorTitle="Check value" error="Check value" promptTitle="Cout ESR" prompt="in mOhms" sqref="D38">
      <formula1>0</formula1>
    </dataValidation>
  </dataValidation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P963"/>
  <sheetViews>
    <sheetView topLeftCell="A25" workbookViewId="0">
      <selection activeCell="L51" sqref="L51"/>
    </sheetView>
  </sheetViews>
  <sheetFormatPr defaultRowHeight="15" x14ac:dyDescent="0.25"/>
  <sheetData>
    <row r="3" spans="2:16" x14ac:dyDescent="0.25">
      <c r="E3" s="61" t="s">
        <v>205</v>
      </c>
      <c r="F3" s="61"/>
      <c r="G3" s="39"/>
      <c r="J3" s="458" t="s">
        <v>206</v>
      </c>
      <c r="K3" s="458"/>
      <c r="L3" s="458"/>
    </row>
    <row r="4" spans="2:16" ht="15.75" thickBot="1" x14ac:dyDescent="0.3">
      <c r="B4" s="59">
        <v>1</v>
      </c>
      <c r="D4">
        <v>1</v>
      </c>
      <c r="E4">
        <f t="shared" ref="E4:E35" si="0">B4*0.01</f>
        <v>0.01</v>
      </c>
      <c r="G4" s="59">
        <v>9.76</v>
      </c>
      <c r="H4" s="62">
        <f>G4*10000000</f>
        <v>97600000</v>
      </c>
      <c r="J4" s="59">
        <v>8.1999999999999993</v>
      </c>
      <c r="L4">
        <f>J4*100</f>
        <v>819.99999999999989</v>
      </c>
      <c r="N4">
        <v>1000</v>
      </c>
      <c r="P4">
        <v>20</v>
      </c>
    </row>
    <row r="5" spans="2:16" ht="15.75" thickBot="1" x14ac:dyDescent="0.3">
      <c r="B5" s="59">
        <v>1.02</v>
      </c>
      <c r="D5">
        <f>1+D4</f>
        <v>2</v>
      </c>
      <c r="E5">
        <f t="shared" si="0"/>
        <v>1.0200000000000001E-2</v>
      </c>
      <c r="G5" s="59">
        <v>9.5299999999999994</v>
      </c>
      <c r="H5" s="62">
        <f t="shared" ref="H5:H68" si="1">G5*10000000</f>
        <v>95300000</v>
      </c>
      <c r="J5" s="59">
        <v>6.8</v>
      </c>
      <c r="L5">
        <f t="shared" ref="L5:L15" si="2">J5*100</f>
        <v>680</v>
      </c>
      <c r="N5">
        <v>800</v>
      </c>
      <c r="P5">
        <v>16</v>
      </c>
    </row>
    <row r="6" spans="2:16" ht="15.75" thickBot="1" x14ac:dyDescent="0.3">
      <c r="B6" s="59">
        <v>1.05</v>
      </c>
      <c r="D6">
        <f t="shared" ref="D6:D69" si="3">1+D5</f>
        <v>3</v>
      </c>
      <c r="E6">
        <f t="shared" si="0"/>
        <v>1.0500000000000001E-2</v>
      </c>
      <c r="G6" s="59">
        <v>9.31</v>
      </c>
      <c r="H6" s="62">
        <f t="shared" si="1"/>
        <v>93100000</v>
      </c>
      <c r="J6" s="59">
        <v>5.6</v>
      </c>
      <c r="L6">
        <f t="shared" si="2"/>
        <v>560</v>
      </c>
      <c r="N6">
        <v>600</v>
      </c>
      <c r="P6">
        <v>15</v>
      </c>
    </row>
    <row r="7" spans="2:16" ht="15.75" thickBot="1" x14ac:dyDescent="0.3">
      <c r="B7" s="59">
        <v>1.07</v>
      </c>
      <c r="D7">
        <f t="shared" si="3"/>
        <v>4</v>
      </c>
      <c r="E7">
        <f t="shared" si="0"/>
        <v>1.0700000000000001E-2</v>
      </c>
      <c r="G7" s="59">
        <v>9.09</v>
      </c>
      <c r="H7" s="62">
        <f t="shared" si="1"/>
        <v>90900000</v>
      </c>
      <c r="J7" s="59">
        <v>4.7</v>
      </c>
      <c r="L7">
        <f t="shared" si="2"/>
        <v>470</v>
      </c>
      <c r="N7">
        <v>400</v>
      </c>
      <c r="P7">
        <v>10</v>
      </c>
    </row>
    <row r="8" spans="2:16" ht="15.75" thickBot="1" x14ac:dyDescent="0.3">
      <c r="B8" s="59">
        <v>1.1000000000000001</v>
      </c>
      <c r="D8">
        <f t="shared" si="3"/>
        <v>5</v>
      </c>
      <c r="E8">
        <f t="shared" si="0"/>
        <v>1.1000000000000001E-2</v>
      </c>
      <c r="G8" s="59">
        <v>8.8699999999999992</v>
      </c>
      <c r="H8" s="62">
        <f t="shared" si="1"/>
        <v>88699999.999999985</v>
      </c>
      <c r="J8" s="59">
        <v>3.9</v>
      </c>
      <c r="L8">
        <f t="shared" si="2"/>
        <v>390</v>
      </c>
      <c r="N8">
        <v>200</v>
      </c>
      <c r="P8">
        <v>8</v>
      </c>
    </row>
    <row r="9" spans="2:16" ht="15.75" thickBot="1" x14ac:dyDescent="0.3">
      <c r="B9" s="59">
        <v>1.1299999999999999</v>
      </c>
      <c r="D9">
        <f t="shared" si="3"/>
        <v>6</v>
      </c>
      <c r="E9">
        <f t="shared" si="0"/>
        <v>1.1299999999999999E-2</v>
      </c>
      <c r="G9" s="59">
        <v>8.66</v>
      </c>
      <c r="H9" s="62">
        <f t="shared" si="1"/>
        <v>86600000</v>
      </c>
      <c r="J9" s="59">
        <v>3.3</v>
      </c>
      <c r="L9">
        <f t="shared" si="2"/>
        <v>330</v>
      </c>
      <c r="N9">
        <v>150</v>
      </c>
      <c r="P9">
        <v>6</v>
      </c>
    </row>
    <row r="10" spans="2:16" ht="15.75" thickBot="1" x14ac:dyDescent="0.3">
      <c r="B10" s="59">
        <v>1.1499999999999999</v>
      </c>
      <c r="D10">
        <f t="shared" si="3"/>
        <v>7</v>
      </c>
      <c r="E10">
        <f t="shared" si="0"/>
        <v>1.15E-2</v>
      </c>
      <c r="G10" s="59">
        <v>8.4499999999999993</v>
      </c>
      <c r="H10" s="62">
        <f t="shared" si="1"/>
        <v>84500000</v>
      </c>
      <c r="J10" s="59">
        <v>2.7</v>
      </c>
      <c r="L10">
        <f t="shared" si="2"/>
        <v>270</v>
      </c>
      <c r="N10">
        <v>100</v>
      </c>
      <c r="P10">
        <v>5</v>
      </c>
    </row>
    <row r="11" spans="2:16" ht="15.75" thickBot="1" x14ac:dyDescent="0.3">
      <c r="B11" s="59">
        <v>1.18</v>
      </c>
      <c r="D11">
        <f t="shared" si="3"/>
        <v>8</v>
      </c>
      <c r="E11">
        <f t="shared" si="0"/>
        <v>1.18E-2</v>
      </c>
      <c r="G11" s="59">
        <v>8.25</v>
      </c>
      <c r="H11" s="62">
        <f t="shared" si="1"/>
        <v>82500000</v>
      </c>
      <c r="J11" s="59">
        <v>2.2000000000000002</v>
      </c>
      <c r="L11">
        <f t="shared" si="2"/>
        <v>220.00000000000003</v>
      </c>
      <c r="N11">
        <v>50</v>
      </c>
      <c r="P11">
        <v>4</v>
      </c>
    </row>
    <row r="12" spans="2:16" ht="15.75" thickBot="1" x14ac:dyDescent="0.3">
      <c r="B12" s="59">
        <v>1.21</v>
      </c>
      <c r="D12">
        <f t="shared" si="3"/>
        <v>9</v>
      </c>
      <c r="E12">
        <f t="shared" si="0"/>
        <v>1.21E-2</v>
      </c>
      <c r="G12" s="59">
        <v>8.06</v>
      </c>
      <c r="H12" s="62">
        <f t="shared" si="1"/>
        <v>80600000</v>
      </c>
      <c r="J12" s="59">
        <v>1.8</v>
      </c>
      <c r="L12">
        <f t="shared" si="2"/>
        <v>180</v>
      </c>
      <c r="P12">
        <v>3</v>
      </c>
    </row>
    <row r="13" spans="2:16" ht="15.75" thickBot="1" x14ac:dyDescent="0.3">
      <c r="B13" s="59">
        <v>1.24</v>
      </c>
      <c r="D13">
        <f t="shared" si="3"/>
        <v>10</v>
      </c>
      <c r="E13">
        <f t="shared" si="0"/>
        <v>1.24E-2</v>
      </c>
      <c r="G13" s="59">
        <v>7.87</v>
      </c>
      <c r="H13" s="62">
        <f t="shared" si="1"/>
        <v>78700000</v>
      </c>
      <c r="J13" s="59">
        <v>1.5</v>
      </c>
      <c r="L13">
        <f t="shared" si="2"/>
        <v>150</v>
      </c>
      <c r="P13">
        <v>2</v>
      </c>
    </row>
    <row r="14" spans="2:16" ht="15.75" thickBot="1" x14ac:dyDescent="0.3">
      <c r="B14" s="59">
        <v>1.27</v>
      </c>
      <c r="D14">
        <f t="shared" si="3"/>
        <v>11</v>
      </c>
      <c r="E14">
        <f t="shared" si="0"/>
        <v>1.2700000000000001E-2</v>
      </c>
      <c r="G14" s="59">
        <v>7.68</v>
      </c>
      <c r="H14" s="62">
        <f t="shared" si="1"/>
        <v>76800000</v>
      </c>
      <c r="J14" s="59">
        <v>1.2</v>
      </c>
      <c r="L14">
        <f t="shared" si="2"/>
        <v>120</v>
      </c>
      <c r="P14">
        <v>1</v>
      </c>
    </row>
    <row r="15" spans="2:16" ht="15.75" thickBot="1" x14ac:dyDescent="0.3">
      <c r="B15" s="59">
        <v>1.3</v>
      </c>
      <c r="D15">
        <f t="shared" si="3"/>
        <v>12</v>
      </c>
      <c r="E15">
        <f t="shared" si="0"/>
        <v>1.3000000000000001E-2</v>
      </c>
      <c r="G15" s="59">
        <v>7.5</v>
      </c>
      <c r="H15" s="62">
        <f t="shared" si="1"/>
        <v>75000000</v>
      </c>
      <c r="J15" s="59">
        <v>1</v>
      </c>
      <c r="L15">
        <f t="shared" si="2"/>
        <v>100</v>
      </c>
      <c r="P15">
        <v>0.5</v>
      </c>
    </row>
    <row r="16" spans="2:16" ht="15.75" thickBot="1" x14ac:dyDescent="0.3">
      <c r="B16" s="59">
        <v>1.33</v>
      </c>
      <c r="D16">
        <f t="shared" si="3"/>
        <v>13</v>
      </c>
      <c r="E16">
        <f t="shared" si="0"/>
        <v>1.3300000000000001E-2</v>
      </c>
      <c r="G16" s="59">
        <v>7.32</v>
      </c>
      <c r="H16" s="62">
        <f t="shared" si="1"/>
        <v>73200000</v>
      </c>
      <c r="L16">
        <f>0.1*L4</f>
        <v>82</v>
      </c>
      <c r="P16">
        <v>0.1</v>
      </c>
    </row>
    <row r="17" spans="2:12" ht="15.75" thickBot="1" x14ac:dyDescent="0.3">
      <c r="B17" s="59">
        <v>1.37</v>
      </c>
      <c r="D17">
        <f t="shared" si="3"/>
        <v>14</v>
      </c>
      <c r="E17">
        <f t="shared" si="0"/>
        <v>1.3700000000000002E-2</v>
      </c>
      <c r="G17" s="59">
        <v>7.15</v>
      </c>
      <c r="H17" s="62">
        <f t="shared" si="1"/>
        <v>71500000</v>
      </c>
      <c r="L17">
        <f t="shared" ref="L17:L51" si="4">0.1*L5</f>
        <v>68</v>
      </c>
    </row>
    <row r="18" spans="2:12" ht="15.75" thickBot="1" x14ac:dyDescent="0.3">
      <c r="B18" s="59">
        <v>1.4</v>
      </c>
      <c r="D18">
        <f t="shared" si="3"/>
        <v>15</v>
      </c>
      <c r="E18">
        <f t="shared" si="0"/>
        <v>1.3999999999999999E-2</v>
      </c>
      <c r="G18" s="59">
        <v>6.98</v>
      </c>
      <c r="H18" s="62">
        <f t="shared" si="1"/>
        <v>69800000</v>
      </c>
      <c r="L18">
        <f t="shared" si="4"/>
        <v>56</v>
      </c>
    </row>
    <row r="19" spans="2:12" ht="15.75" thickBot="1" x14ac:dyDescent="0.3">
      <c r="B19" s="59">
        <v>1.43</v>
      </c>
      <c r="D19">
        <f t="shared" si="3"/>
        <v>16</v>
      </c>
      <c r="E19">
        <f t="shared" si="0"/>
        <v>1.43E-2</v>
      </c>
      <c r="G19" s="59">
        <v>6.81</v>
      </c>
      <c r="H19" s="62">
        <f t="shared" si="1"/>
        <v>68100000</v>
      </c>
      <c r="L19">
        <f t="shared" si="4"/>
        <v>47</v>
      </c>
    </row>
    <row r="20" spans="2:12" ht="15.75" thickBot="1" x14ac:dyDescent="0.3">
      <c r="B20" s="59">
        <v>1.47</v>
      </c>
      <c r="D20">
        <f t="shared" si="3"/>
        <v>17</v>
      </c>
      <c r="E20">
        <f t="shared" si="0"/>
        <v>1.47E-2</v>
      </c>
      <c r="G20" s="59">
        <v>6.65</v>
      </c>
      <c r="H20" s="62">
        <f t="shared" si="1"/>
        <v>66500000</v>
      </c>
      <c r="L20">
        <f t="shared" si="4"/>
        <v>39</v>
      </c>
    </row>
    <row r="21" spans="2:12" ht="15.75" thickBot="1" x14ac:dyDescent="0.3">
      <c r="B21" s="59">
        <v>1.5</v>
      </c>
      <c r="D21">
        <f t="shared" si="3"/>
        <v>18</v>
      </c>
      <c r="E21">
        <f t="shared" si="0"/>
        <v>1.4999999999999999E-2</v>
      </c>
      <c r="G21" s="59">
        <v>6.49</v>
      </c>
      <c r="H21" s="62">
        <f t="shared" si="1"/>
        <v>64900000</v>
      </c>
      <c r="L21">
        <f t="shared" si="4"/>
        <v>33</v>
      </c>
    </row>
    <row r="22" spans="2:12" ht="15.75" thickBot="1" x14ac:dyDescent="0.3">
      <c r="B22" s="59">
        <v>1.54</v>
      </c>
      <c r="D22">
        <f t="shared" si="3"/>
        <v>19</v>
      </c>
      <c r="E22">
        <f t="shared" si="0"/>
        <v>1.54E-2</v>
      </c>
      <c r="G22" s="59">
        <v>6.34</v>
      </c>
      <c r="H22" s="62">
        <f t="shared" si="1"/>
        <v>63400000</v>
      </c>
      <c r="L22">
        <f t="shared" si="4"/>
        <v>27</v>
      </c>
    </row>
    <row r="23" spans="2:12" ht="15.75" thickBot="1" x14ac:dyDescent="0.3">
      <c r="B23" s="59">
        <v>1.58</v>
      </c>
      <c r="D23">
        <f t="shared" si="3"/>
        <v>20</v>
      </c>
      <c r="E23">
        <f t="shared" si="0"/>
        <v>1.5800000000000002E-2</v>
      </c>
      <c r="G23" s="59">
        <v>6.19</v>
      </c>
      <c r="H23" s="62">
        <f t="shared" si="1"/>
        <v>61900000.000000007</v>
      </c>
      <c r="L23">
        <f t="shared" si="4"/>
        <v>22.000000000000004</v>
      </c>
    </row>
    <row r="24" spans="2:12" ht="15.75" thickBot="1" x14ac:dyDescent="0.3">
      <c r="B24" s="59">
        <v>1.62</v>
      </c>
      <c r="D24">
        <f t="shared" si="3"/>
        <v>21</v>
      </c>
      <c r="E24">
        <f t="shared" si="0"/>
        <v>1.6200000000000003E-2</v>
      </c>
      <c r="G24" s="59">
        <v>6.04</v>
      </c>
      <c r="H24" s="62">
        <f t="shared" si="1"/>
        <v>60400000</v>
      </c>
      <c r="L24">
        <f t="shared" si="4"/>
        <v>18</v>
      </c>
    </row>
    <row r="25" spans="2:12" ht="15.75" thickBot="1" x14ac:dyDescent="0.3">
      <c r="B25" s="59">
        <v>1.65</v>
      </c>
      <c r="D25">
        <f t="shared" si="3"/>
        <v>22</v>
      </c>
      <c r="E25">
        <f t="shared" si="0"/>
        <v>1.6500000000000001E-2</v>
      </c>
      <c r="G25" s="59">
        <v>5.9</v>
      </c>
      <c r="H25" s="62">
        <f t="shared" si="1"/>
        <v>59000000</v>
      </c>
      <c r="L25">
        <f t="shared" si="4"/>
        <v>15</v>
      </c>
    </row>
    <row r="26" spans="2:12" ht="15.75" thickBot="1" x14ac:dyDescent="0.3">
      <c r="B26" s="59">
        <v>1.69</v>
      </c>
      <c r="D26">
        <f t="shared" si="3"/>
        <v>23</v>
      </c>
      <c r="E26">
        <f t="shared" si="0"/>
        <v>1.6899999999999998E-2</v>
      </c>
      <c r="G26" s="59">
        <v>5.76</v>
      </c>
      <c r="H26" s="62">
        <f t="shared" si="1"/>
        <v>57600000</v>
      </c>
      <c r="L26">
        <f t="shared" si="4"/>
        <v>12</v>
      </c>
    </row>
    <row r="27" spans="2:12" ht="15.75" thickBot="1" x14ac:dyDescent="0.3">
      <c r="B27" s="59">
        <v>1.74</v>
      </c>
      <c r="D27">
        <f t="shared" si="3"/>
        <v>24</v>
      </c>
      <c r="E27">
        <f t="shared" si="0"/>
        <v>1.7399999999999999E-2</v>
      </c>
      <c r="G27" s="59">
        <v>5.62</v>
      </c>
      <c r="H27" s="62">
        <f t="shared" si="1"/>
        <v>56200000</v>
      </c>
      <c r="L27">
        <f t="shared" si="4"/>
        <v>10</v>
      </c>
    </row>
    <row r="28" spans="2:12" ht="15.75" thickBot="1" x14ac:dyDescent="0.3">
      <c r="B28" s="59">
        <v>1.78</v>
      </c>
      <c r="D28">
        <f t="shared" si="3"/>
        <v>25</v>
      </c>
      <c r="E28">
        <f t="shared" si="0"/>
        <v>1.78E-2</v>
      </c>
      <c r="G28" s="59">
        <v>5.49</v>
      </c>
      <c r="H28" s="62">
        <f t="shared" si="1"/>
        <v>54900000</v>
      </c>
      <c r="L28">
        <f t="shared" si="4"/>
        <v>8.2000000000000011</v>
      </c>
    </row>
    <row r="29" spans="2:12" ht="15.75" thickBot="1" x14ac:dyDescent="0.3">
      <c r="B29" s="59">
        <v>1.82</v>
      </c>
      <c r="D29">
        <f t="shared" si="3"/>
        <v>26</v>
      </c>
      <c r="E29">
        <f t="shared" si="0"/>
        <v>1.8200000000000001E-2</v>
      </c>
      <c r="G29" s="59">
        <v>5.36</v>
      </c>
      <c r="H29" s="62">
        <f t="shared" si="1"/>
        <v>53600000</v>
      </c>
      <c r="L29">
        <f t="shared" si="4"/>
        <v>6.8000000000000007</v>
      </c>
    </row>
    <row r="30" spans="2:12" ht="15.75" thickBot="1" x14ac:dyDescent="0.3">
      <c r="B30" s="59">
        <v>1.87</v>
      </c>
      <c r="D30">
        <f t="shared" si="3"/>
        <v>27</v>
      </c>
      <c r="E30">
        <f t="shared" si="0"/>
        <v>1.8700000000000001E-2</v>
      </c>
      <c r="G30" s="59">
        <v>5.23</v>
      </c>
      <c r="H30" s="62">
        <f t="shared" si="1"/>
        <v>52300000.000000007</v>
      </c>
      <c r="L30">
        <f t="shared" si="4"/>
        <v>5.6000000000000005</v>
      </c>
    </row>
    <row r="31" spans="2:12" ht="15.75" thickBot="1" x14ac:dyDescent="0.3">
      <c r="B31" s="59">
        <v>1.91</v>
      </c>
      <c r="D31">
        <f t="shared" si="3"/>
        <v>28</v>
      </c>
      <c r="E31">
        <f t="shared" si="0"/>
        <v>1.9099999999999999E-2</v>
      </c>
      <c r="G31" s="59">
        <v>5.1100000000000003</v>
      </c>
      <c r="H31" s="62">
        <f t="shared" si="1"/>
        <v>51100000</v>
      </c>
      <c r="L31">
        <f t="shared" si="4"/>
        <v>4.7</v>
      </c>
    </row>
    <row r="32" spans="2:12" ht="15.75" thickBot="1" x14ac:dyDescent="0.3">
      <c r="B32" s="59">
        <v>1.96</v>
      </c>
      <c r="D32">
        <f t="shared" si="3"/>
        <v>29</v>
      </c>
      <c r="E32">
        <f t="shared" si="0"/>
        <v>1.9599999999999999E-2</v>
      </c>
      <c r="G32" s="59">
        <v>4.99</v>
      </c>
      <c r="H32" s="62">
        <f t="shared" si="1"/>
        <v>49900000</v>
      </c>
      <c r="L32">
        <f t="shared" si="4"/>
        <v>3.9000000000000004</v>
      </c>
    </row>
    <row r="33" spans="2:12" ht="15.75" thickBot="1" x14ac:dyDescent="0.3">
      <c r="B33" s="59">
        <v>2</v>
      </c>
      <c r="D33">
        <f t="shared" si="3"/>
        <v>30</v>
      </c>
      <c r="E33">
        <f t="shared" si="0"/>
        <v>0.02</v>
      </c>
      <c r="G33" s="59">
        <v>4.87</v>
      </c>
      <c r="H33" s="62">
        <f t="shared" si="1"/>
        <v>48700000</v>
      </c>
      <c r="L33">
        <f t="shared" si="4"/>
        <v>3.3000000000000003</v>
      </c>
    </row>
    <row r="34" spans="2:12" ht="15.75" thickBot="1" x14ac:dyDescent="0.3">
      <c r="B34" s="59">
        <v>2.0499999999999998</v>
      </c>
      <c r="D34">
        <f t="shared" si="3"/>
        <v>31</v>
      </c>
      <c r="E34">
        <f t="shared" si="0"/>
        <v>2.0499999999999997E-2</v>
      </c>
      <c r="G34" s="59">
        <v>4.75</v>
      </c>
      <c r="H34" s="62">
        <f t="shared" si="1"/>
        <v>47500000</v>
      </c>
      <c r="L34">
        <f t="shared" si="4"/>
        <v>2.7</v>
      </c>
    </row>
    <row r="35" spans="2:12" ht="15.75" thickBot="1" x14ac:dyDescent="0.3">
      <c r="B35" s="59">
        <v>2.1</v>
      </c>
      <c r="D35">
        <f t="shared" si="3"/>
        <v>32</v>
      </c>
      <c r="E35">
        <f t="shared" si="0"/>
        <v>2.1000000000000001E-2</v>
      </c>
      <c r="G35" s="59">
        <v>4.6399999999999997</v>
      </c>
      <c r="H35" s="62">
        <f t="shared" si="1"/>
        <v>46400000</v>
      </c>
      <c r="L35">
        <f t="shared" si="4"/>
        <v>2.2000000000000006</v>
      </c>
    </row>
    <row r="36" spans="2:12" ht="15.75" thickBot="1" x14ac:dyDescent="0.3">
      <c r="B36" s="59">
        <v>2.16</v>
      </c>
      <c r="D36">
        <f t="shared" si="3"/>
        <v>33</v>
      </c>
      <c r="E36">
        <f t="shared" ref="E36:E67" si="5">B36*0.01</f>
        <v>2.1600000000000001E-2</v>
      </c>
      <c r="G36" s="59">
        <v>4.53</v>
      </c>
      <c r="H36" s="62">
        <f t="shared" si="1"/>
        <v>45300000</v>
      </c>
      <c r="L36">
        <f t="shared" si="4"/>
        <v>1.8</v>
      </c>
    </row>
    <row r="37" spans="2:12" ht="15.75" thickBot="1" x14ac:dyDescent="0.3">
      <c r="B37" s="59">
        <v>2.21</v>
      </c>
      <c r="D37">
        <f t="shared" si="3"/>
        <v>34</v>
      </c>
      <c r="E37">
        <f t="shared" si="5"/>
        <v>2.2100000000000002E-2</v>
      </c>
      <c r="G37" s="59">
        <v>4.42</v>
      </c>
      <c r="H37" s="62">
        <f t="shared" si="1"/>
        <v>44200000</v>
      </c>
      <c r="L37">
        <f t="shared" si="4"/>
        <v>1.5</v>
      </c>
    </row>
    <row r="38" spans="2:12" ht="15.75" thickBot="1" x14ac:dyDescent="0.3">
      <c r="B38" s="59">
        <v>2.2599999999999998</v>
      </c>
      <c r="D38">
        <f t="shared" si="3"/>
        <v>35</v>
      </c>
      <c r="E38">
        <f t="shared" si="5"/>
        <v>2.2599999999999999E-2</v>
      </c>
      <c r="G38" s="59">
        <v>4.32</v>
      </c>
      <c r="H38" s="62">
        <f t="shared" si="1"/>
        <v>43200000</v>
      </c>
      <c r="L38">
        <f t="shared" si="4"/>
        <v>1.2000000000000002</v>
      </c>
    </row>
    <row r="39" spans="2:12" ht="15.75" thickBot="1" x14ac:dyDescent="0.3">
      <c r="B39" s="59">
        <v>2.3199999999999998</v>
      </c>
      <c r="D39">
        <f t="shared" si="3"/>
        <v>36</v>
      </c>
      <c r="E39">
        <f t="shared" si="5"/>
        <v>2.3199999999999998E-2</v>
      </c>
      <c r="G39" s="59">
        <v>4.22</v>
      </c>
      <c r="H39" s="62">
        <f t="shared" si="1"/>
        <v>42200000</v>
      </c>
      <c r="L39">
        <f t="shared" si="4"/>
        <v>1</v>
      </c>
    </row>
    <row r="40" spans="2:12" ht="15.75" thickBot="1" x14ac:dyDescent="0.3">
      <c r="B40" s="59">
        <v>2.37</v>
      </c>
      <c r="D40">
        <f t="shared" si="3"/>
        <v>37</v>
      </c>
      <c r="E40">
        <f t="shared" si="5"/>
        <v>2.3700000000000002E-2</v>
      </c>
      <c r="G40" s="59">
        <v>4.12</v>
      </c>
      <c r="H40" s="62">
        <f t="shared" si="1"/>
        <v>41200000</v>
      </c>
      <c r="L40">
        <f t="shared" si="4"/>
        <v>0.82000000000000017</v>
      </c>
    </row>
    <row r="41" spans="2:12" ht="15.75" thickBot="1" x14ac:dyDescent="0.3">
      <c r="B41" s="59">
        <v>2.4300000000000002</v>
      </c>
      <c r="D41">
        <f t="shared" si="3"/>
        <v>38</v>
      </c>
      <c r="E41">
        <f t="shared" si="5"/>
        <v>2.4300000000000002E-2</v>
      </c>
      <c r="G41" s="59">
        <v>4.0199999999999996</v>
      </c>
      <c r="H41" s="62">
        <f t="shared" si="1"/>
        <v>40199999.999999993</v>
      </c>
      <c r="L41">
        <f t="shared" si="4"/>
        <v>0.68000000000000016</v>
      </c>
    </row>
    <row r="42" spans="2:12" ht="15.75" thickBot="1" x14ac:dyDescent="0.3">
      <c r="B42" s="59">
        <v>2.4900000000000002</v>
      </c>
      <c r="D42">
        <f t="shared" si="3"/>
        <v>39</v>
      </c>
      <c r="E42">
        <f t="shared" si="5"/>
        <v>2.4900000000000002E-2</v>
      </c>
      <c r="G42" s="59">
        <v>3.92</v>
      </c>
      <c r="H42" s="62">
        <f t="shared" si="1"/>
        <v>39200000</v>
      </c>
      <c r="L42">
        <f t="shared" si="4"/>
        <v>0.56000000000000005</v>
      </c>
    </row>
    <row r="43" spans="2:12" ht="15.75" thickBot="1" x14ac:dyDescent="0.3">
      <c r="B43" s="59">
        <v>2.5499999999999998</v>
      </c>
      <c r="D43">
        <f t="shared" si="3"/>
        <v>40</v>
      </c>
      <c r="E43">
        <f t="shared" si="5"/>
        <v>2.5499999999999998E-2</v>
      </c>
      <c r="G43" s="59">
        <v>3.83</v>
      </c>
      <c r="H43" s="62">
        <f t="shared" si="1"/>
        <v>38300000</v>
      </c>
      <c r="L43">
        <f t="shared" si="4"/>
        <v>0.47000000000000003</v>
      </c>
    </row>
    <row r="44" spans="2:12" ht="15.75" thickBot="1" x14ac:dyDescent="0.3">
      <c r="B44" s="59">
        <v>2.61</v>
      </c>
      <c r="D44">
        <f t="shared" si="3"/>
        <v>41</v>
      </c>
      <c r="E44">
        <f t="shared" si="5"/>
        <v>2.6099999999999998E-2</v>
      </c>
      <c r="G44" s="59">
        <v>3.74</v>
      </c>
      <c r="H44" s="62">
        <f t="shared" si="1"/>
        <v>37400000</v>
      </c>
      <c r="L44">
        <f t="shared" si="4"/>
        <v>0.39000000000000007</v>
      </c>
    </row>
    <row r="45" spans="2:12" ht="15.75" thickBot="1" x14ac:dyDescent="0.3">
      <c r="B45" s="59">
        <v>2.67</v>
      </c>
      <c r="D45">
        <f t="shared" si="3"/>
        <v>42</v>
      </c>
      <c r="E45">
        <f t="shared" si="5"/>
        <v>2.6700000000000002E-2</v>
      </c>
      <c r="G45" s="59">
        <v>3.65</v>
      </c>
      <c r="H45" s="62">
        <f t="shared" si="1"/>
        <v>36500000</v>
      </c>
      <c r="L45">
        <f t="shared" si="4"/>
        <v>0.33000000000000007</v>
      </c>
    </row>
    <row r="46" spans="2:12" ht="15.75" thickBot="1" x14ac:dyDescent="0.3">
      <c r="B46" s="59">
        <v>2.74</v>
      </c>
      <c r="D46">
        <f t="shared" si="3"/>
        <v>43</v>
      </c>
      <c r="E46">
        <f t="shared" si="5"/>
        <v>2.7400000000000004E-2</v>
      </c>
      <c r="G46" s="59">
        <v>3.57</v>
      </c>
      <c r="H46" s="62">
        <f t="shared" si="1"/>
        <v>35700000</v>
      </c>
      <c r="L46">
        <f t="shared" si="4"/>
        <v>0.27</v>
      </c>
    </row>
    <row r="47" spans="2:12" ht="15.75" thickBot="1" x14ac:dyDescent="0.3">
      <c r="B47" s="59">
        <v>2.8</v>
      </c>
      <c r="D47">
        <f t="shared" si="3"/>
        <v>44</v>
      </c>
      <c r="E47">
        <f t="shared" si="5"/>
        <v>2.7999999999999997E-2</v>
      </c>
      <c r="G47" s="59">
        <v>3.48</v>
      </c>
      <c r="H47" s="62">
        <f t="shared" si="1"/>
        <v>34800000</v>
      </c>
      <c r="L47">
        <f t="shared" si="4"/>
        <v>0.22000000000000008</v>
      </c>
    </row>
    <row r="48" spans="2:12" ht="15.75" thickBot="1" x14ac:dyDescent="0.3">
      <c r="B48" s="59">
        <v>2.87</v>
      </c>
      <c r="D48">
        <f t="shared" si="3"/>
        <v>45</v>
      </c>
      <c r="E48">
        <f t="shared" si="5"/>
        <v>2.8700000000000003E-2</v>
      </c>
      <c r="G48" s="59">
        <v>3.4</v>
      </c>
      <c r="H48" s="62">
        <f t="shared" si="1"/>
        <v>34000000</v>
      </c>
      <c r="L48">
        <f t="shared" si="4"/>
        <v>0.18000000000000002</v>
      </c>
    </row>
    <row r="49" spans="2:12" ht="15.75" thickBot="1" x14ac:dyDescent="0.3">
      <c r="B49" s="59">
        <v>2.94</v>
      </c>
      <c r="D49">
        <f t="shared" si="3"/>
        <v>46</v>
      </c>
      <c r="E49">
        <f t="shared" si="5"/>
        <v>2.9399999999999999E-2</v>
      </c>
      <c r="G49" s="59">
        <v>3.32</v>
      </c>
      <c r="H49" s="62">
        <f t="shared" si="1"/>
        <v>33200000</v>
      </c>
      <c r="L49">
        <f t="shared" si="4"/>
        <v>0.15000000000000002</v>
      </c>
    </row>
    <row r="50" spans="2:12" ht="15.75" thickBot="1" x14ac:dyDescent="0.3">
      <c r="B50" s="59">
        <v>3.01</v>
      </c>
      <c r="D50">
        <f t="shared" si="3"/>
        <v>47</v>
      </c>
      <c r="E50">
        <f t="shared" si="5"/>
        <v>3.0099999999999998E-2</v>
      </c>
      <c r="G50" s="59">
        <v>3.24</v>
      </c>
      <c r="H50" s="62">
        <f t="shared" si="1"/>
        <v>32400000.000000004</v>
      </c>
      <c r="L50">
        <f t="shared" si="4"/>
        <v>0.12000000000000002</v>
      </c>
    </row>
    <row r="51" spans="2:12" ht="15.75" thickBot="1" x14ac:dyDescent="0.3">
      <c r="B51" s="59">
        <v>3.09</v>
      </c>
      <c r="D51">
        <f t="shared" si="3"/>
        <v>48</v>
      </c>
      <c r="E51">
        <f t="shared" si="5"/>
        <v>3.09E-2</v>
      </c>
      <c r="G51" s="59">
        <v>3.16</v>
      </c>
      <c r="H51" s="62">
        <f t="shared" si="1"/>
        <v>31600000</v>
      </c>
      <c r="L51">
        <f t="shared" si="4"/>
        <v>0.1</v>
      </c>
    </row>
    <row r="52" spans="2:12" ht="15.75" thickBot="1" x14ac:dyDescent="0.3">
      <c r="B52" s="59">
        <v>3.16</v>
      </c>
      <c r="D52">
        <f t="shared" si="3"/>
        <v>49</v>
      </c>
      <c r="E52">
        <f t="shared" si="5"/>
        <v>3.1600000000000003E-2</v>
      </c>
      <c r="G52" s="59">
        <v>3.09</v>
      </c>
      <c r="H52" s="62">
        <f t="shared" si="1"/>
        <v>30900000</v>
      </c>
    </row>
    <row r="53" spans="2:12" ht="15.75" thickBot="1" x14ac:dyDescent="0.3">
      <c r="B53" s="59">
        <v>3.24</v>
      </c>
      <c r="D53">
        <f t="shared" si="3"/>
        <v>50</v>
      </c>
      <c r="E53">
        <f t="shared" si="5"/>
        <v>3.2400000000000005E-2</v>
      </c>
      <c r="G53" s="59">
        <v>3.01</v>
      </c>
      <c r="H53" s="62">
        <f t="shared" si="1"/>
        <v>30099999.999999996</v>
      </c>
    </row>
    <row r="54" spans="2:12" ht="15.75" thickBot="1" x14ac:dyDescent="0.3">
      <c r="B54" s="59">
        <v>3.32</v>
      </c>
      <c r="D54">
        <f t="shared" si="3"/>
        <v>51</v>
      </c>
      <c r="E54">
        <f t="shared" si="5"/>
        <v>3.32E-2</v>
      </c>
      <c r="G54" s="59">
        <v>2.94</v>
      </c>
      <c r="H54" s="62">
        <f t="shared" si="1"/>
        <v>29400000</v>
      </c>
    </row>
    <row r="55" spans="2:12" ht="15.75" thickBot="1" x14ac:dyDescent="0.3">
      <c r="B55" s="59">
        <v>3.4</v>
      </c>
      <c r="D55">
        <f t="shared" si="3"/>
        <v>52</v>
      </c>
      <c r="E55">
        <f t="shared" si="5"/>
        <v>3.4000000000000002E-2</v>
      </c>
      <c r="G55" s="59">
        <v>2.87</v>
      </c>
      <c r="H55" s="62">
        <f t="shared" si="1"/>
        <v>28700000</v>
      </c>
    </row>
    <row r="56" spans="2:12" ht="15.75" thickBot="1" x14ac:dyDescent="0.3">
      <c r="B56" s="59">
        <v>3.48</v>
      </c>
      <c r="D56">
        <f t="shared" si="3"/>
        <v>53</v>
      </c>
      <c r="E56">
        <f t="shared" si="5"/>
        <v>3.4799999999999998E-2</v>
      </c>
      <c r="G56" s="59">
        <v>2.8</v>
      </c>
      <c r="H56" s="62">
        <f t="shared" si="1"/>
        <v>28000000</v>
      </c>
    </row>
    <row r="57" spans="2:12" ht="15.75" thickBot="1" x14ac:dyDescent="0.3">
      <c r="B57" s="59">
        <v>3.57</v>
      </c>
      <c r="D57">
        <f t="shared" si="3"/>
        <v>54</v>
      </c>
      <c r="E57">
        <f t="shared" si="5"/>
        <v>3.5700000000000003E-2</v>
      </c>
      <c r="G57" s="59">
        <v>2.74</v>
      </c>
      <c r="H57" s="62">
        <f t="shared" si="1"/>
        <v>27400000.000000004</v>
      </c>
    </row>
    <row r="58" spans="2:12" ht="15.75" thickBot="1" x14ac:dyDescent="0.3">
      <c r="B58" s="59">
        <v>3.65</v>
      </c>
      <c r="D58">
        <f t="shared" si="3"/>
        <v>55</v>
      </c>
      <c r="E58">
        <f t="shared" si="5"/>
        <v>3.6499999999999998E-2</v>
      </c>
      <c r="G58" s="59">
        <v>2.67</v>
      </c>
      <c r="H58" s="62">
        <f t="shared" si="1"/>
        <v>26700000</v>
      </c>
    </row>
    <row r="59" spans="2:12" ht="15.75" thickBot="1" x14ac:dyDescent="0.3">
      <c r="B59" s="59">
        <v>3.74</v>
      </c>
      <c r="D59">
        <f t="shared" si="3"/>
        <v>56</v>
      </c>
      <c r="E59">
        <f t="shared" si="5"/>
        <v>3.7400000000000003E-2</v>
      </c>
      <c r="G59" s="59">
        <v>2.61</v>
      </c>
      <c r="H59" s="62">
        <f t="shared" si="1"/>
        <v>26100000</v>
      </c>
    </row>
    <row r="60" spans="2:12" ht="15.75" thickBot="1" x14ac:dyDescent="0.3">
      <c r="B60" s="59">
        <v>3.83</v>
      </c>
      <c r="D60">
        <f t="shared" si="3"/>
        <v>57</v>
      </c>
      <c r="E60">
        <f t="shared" si="5"/>
        <v>3.8300000000000001E-2</v>
      </c>
      <c r="G60" s="59">
        <v>2.5499999999999998</v>
      </c>
      <c r="H60" s="62">
        <f t="shared" si="1"/>
        <v>25500000</v>
      </c>
    </row>
    <row r="61" spans="2:12" ht="15.75" thickBot="1" x14ac:dyDescent="0.3">
      <c r="B61" s="59">
        <v>3.92</v>
      </c>
      <c r="D61">
        <f t="shared" si="3"/>
        <v>58</v>
      </c>
      <c r="E61">
        <f t="shared" si="5"/>
        <v>3.9199999999999999E-2</v>
      </c>
      <c r="G61" s="59">
        <v>2.4900000000000002</v>
      </c>
      <c r="H61" s="62">
        <f t="shared" si="1"/>
        <v>24900000.000000004</v>
      </c>
    </row>
    <row r="62" spans="2:12" ht="15.75" thickBot="1" x14ac:dyDescent="0.3">
      <c r="B62" s="59">
        <v>4.0199999999999996</v>
      </c>
      <c r="D62">
        <f t="shared" si="3"/>
        <v>59</v>
      </c>
      <c r="E62">
        <f t="shared" si="5"/>
        <v>4.02E-2</v>
      </c>
      <c r="G62" s="59">
        <v>2.4300000000000002</v>
      </c>
      <c r="H62" s="62">
        <f t="shared" si="1"/>
        <v>24300000</v>
      </c>
    </row>
    <row r="63" spans="2:12" ht="15.75" thickBot="1" x14ac:dyDescent="0.3">
      <c r="B63" s="59">
        <v>4.12</v>
      </c>
      <c r="D63">
        <f t="shared" si="3"/>
        <v>60</v>
      </c>
      <c r="E63">
        <f t="shared" si="5"/>
        <v>4.1200000000000001E-2</v>
      </c>
      <c r="G63" s="59">
        <v>2.37</v>
      </c>
      <c r="H63" s="62">
        <f t="shared" si="1"/>
        <v>23700000</v>
      </c>
    </row>
    <row r="64" spans="2:12" ht="15.75" thickBot="1" x14ac:dyDescent="0.3">
      <c r="B64" s="59">
        <v>4.22</v>
      </c>
      <c r="D64">
        <f t="shared" si="3"/>
        <v>61</v>
      </c>
      <c r="E64">
        <f t="shared" si="5"/>
        <v>4.2200000000000001E-2</v>
      </c>
      <c r="G64" s="59">
        <v>2.3199999999999998</v>
      </c>
      <c r="H64" s="62">
        <f t="shared" si="1"/>
        <v>23200000</v>
      </c>
    </row>
    <row r="65" spans="2:8" ht="15.75" thickBot="1" x14ac:dyDescent="0.3">
      <c r="B65" s="59">
        <v>4.32</v>
      </c>
      <c r="D65">
        <f t="shared" si="3"/>
        <v>62</v>
      </c>
      <c r="E65">
        <f t="shared" si="5"/>
        <v>4.3200000000000002E-2</v>
      </c>
      <c r="G65" s="59">
        <v>2.2599999999999998</v>
      </c>
      <c r="H65" s="62">
        <f t="shared" si="1"/>
        <v>22599999.999999996</v>
      </c>
    </row>
    <row r="66" spans="2:8" ht="15.75" thickBot="1" x14ac:dyDescent="0.3">
      <c r="B66" s="59">
        <v>4.42</v>
      </c>
      <c r="D66">
        <f t="shared" si="3"/>
        <v>63</v>
      </c>
      <c r="E66">
        <f t="shared" si="5"/>
        <v>4.4200000000000003E-2</v>
      </c>
      <c r="G66" s="59">
        <v>2.21</v>
      </c>
      <c r="H66" s="62">
        <f t="shared" si="1"/>
        <v>22100000</v>
      </c>
    </row>
    <row r="67" spans="2:8" ht="15.75" thickBot="1" x14ac:dyDescent="0.3">
      <c r="B67" s="59">
        <v>4.53</v>
      </c>
      <c r="D67">
        <f t="shared" si="3"/>
        <v>64</v>
      </c>
      <c r="E67">
        <f t="shared" si="5"/>
        <v>4.53E-2</v>
      </c>
      <c r="G67" s="59">
        <v>2.16</v>
      </c>
      <c r="H67" s="62">
        <f t="shared" si="1"/>
        <v>21600000</v>
      </c>
    </row>
    <row r="68" spans="2:8" ht="15.75" thickBot="1" x14ac:dyDescent="0.3">
      <c r="B68" s="59">
        <v>4.6399999999999997</v>
      </c>
      <c r="D68">
        <f t="shared" si="3"/>
        <v>65</v>
      </c>
      <c r="E68">
        <f t="shared" ref="E68:E99" si="6">B68*0.01</f>
        <v>4.6399999999999997E-2</v>
      </c>
      <c r="G68" s="59">
        <v>2.1</v>
      </c>
      <c r="H68" s="62">
        <f t="shared" si="1"/>
        <v>21000000</v>
      </c>
    </row>
    <row r="69" spans="2:8" ht="15.75" thickBot="1" x14ac:dyDescent="0.3">
      <c r="B69" s="59">
        <v>4.75</v>
      </c>
      <c r="D69">
        <f t="shared" si="3"/>
        <v>66</v>
      </c>
      <c r="E69">
        <f t="shared" si="6"/>
        <v>4.7500000000000001E-2</v>
      </c>
      <c r="G69" s="59">
        <v>2.0499999999999998</v>
      </c>
      <c r="H69" s="62">
        <f t="shared" ref="H69:H99" si="7">G69*10000000</f>
        <v>20500000</v>
      </c>
    </row>
    <row r="70" spans="2:8" ht="15.75" thickBot="1" x14ac:dyDescent="0.3">
      <c r="B70" s="59">
        <v>4.87</v>
      </c>
      <c r="D70">
        <f t="shared" ref="D70:D133" si="8">1+D69</f>
        <v>67</v>
      </c>
      <c r="E70">
        <f t="shared" si="6"/>
        <v>4.87E-2</v>
      </c>
      <c r="G70" s="59">
        <v>2</v>
      </c>
      <c r="H70" s="62">
        <f t="shared" si="7"/>
        <v>20000000</v>
      </c>
    </row>
    <row r="71" spans="2:8" ht="15.75" thickBot="1" x14ac:dyDescent="0.3">
      <c r="B71" s="59">
        <v>4.99</v>
      </c>
      <c r="D71">
        <f t="shared" si="8"/>
        <v>68</v>
      </c>
      <c r="E71">
        <f t="shared" si="6"/>
        <v>4.99E-2</v>
      </c>
      <c r="G71" s="59">
        <v>1.96</v>
      </c>
      <c r="H71" s="62">
        <f t="shared" si="7"/>
        <v>19600000</v>
      </c>
    </row>
    <row r="72" spans="2:8" ht="15.75" thickBot="1" x14ac:dyDescent="0.3">
      <c r="B72" s="59">
        <v>5.1100000000000003</v>
      </c>
      <c r="D72">
        <f t="shared" si="8"/>
        <v>69</v>
      </c>
      <c r="E72">
        <f t="shared" si="6"/>
        <v>5.1100000000000007E-2</v>
      </c>
      <c r="G72" s="59">
        <v>1.91</v>
      </c>
      <c r="H72" s="62">
        <f t="shared" si="7"/>
        <v>19100000</v>
      </c>
    </row>
    <row r="73" spans="2:8" ht="15.75" thickBot="1" x14ac:dyDescent="0.3">
      <c r="B73" s="59">
        <v>5.23</v>
      </c>
      <c r="D73">
        <f t="shared" si="8"/>
        <v>70</v>
      </c>
      <c r="E73">
        <f t="shared" si="6"/>
        <v>5.2300000000000006E-2</v>
      </c>
      <c r="G73" s="59">
        <v>1.87</v>
      </c>
      <c r="H73" s="62">
        <f t="shared" si="7"/>
        <v>18700000</v>
      </c>
    </row>
    <row r="74" spans="2:8" ht="15.75" thickBot="1" x14ac:dyDescent="0.3">
      <c r="B74" s="59">
        <v>5.36</v>
      </c>
      <c r="D74">
        <f t="shared" si="8"/>
        <v>71</v>
      </c>
      <c r="E74">
        <f t="shared" si="6"/>
        <v>5.3600000000000002E-2</v>
      </c>
      <c r="G74" s="59">
        <v>1.82</v>
      </c>
      <c r="H74" s="62">
        <f t="shared" si="7"/>
        <v>18200000</v>
      </c>
    </row>
    <row r="75" spans="2:8" ht="15.75" thickBot="1" x14ac:dyDescent="0.3">
      <c r="B75" s="59">
        <v>5.49</v>
      </c>
      <c r="D75">
        <f t="shared" si="8"/>
        <v>72</v>
      </c>
      <c r="E75">
        <f t="shared" si="6"/>
        <v>5.4900000000000004E-2</v>
      </c>
      <c r="G75" s="59">
        <v>1.78</v>
      </c>
      <c r="H75" s="62">
        <f t="shared" si="7"/>
        <v>17800000</v>
      </c>
    </row>
    <row r="76" spans="2:8" ht="15.75" thickBot="1" x14ac:dyDescent="0.3">
      <c r="B76" s="59">
        <v>5.62</v>
      </c>
      <c r="D76">
        <f t="shared" si="8"/>
        <v>73</v>
      </c>
      <c r="E76">
        <f t="shared" si="6"/>
        <v>5.62E-2</v>
      </c>
      <c r="G76" s="59">
        <v>1.74</v>
      </c>
      <c r="H76" s="62">
        <f t="shared" si="7"/>
        <v>17400000</v>
      </c>
    </row>
    <row r="77" spans="2:8" ht="15.75" thickBot="1" x14ac:dyDescent="0.3">
      <c r="B77" s="59">
        <v>5.76</v>
      </c>
      <c r="D77">
        <f t="shared" si="8"/>
        <v>74</v>
      </c>
      <c r="E77">
        <f t="shared" si="6"/>
        <v>5.7599999999999998E-2</v>
      </c>
      <c r="G77" s="59">
        <v>1.69</v>
      </c>
      <c r="H77" s="62">
        <f t="shared" si="7"/>
        <v>16900000</v>
      </c>
    </row>
    <row r="78" spans="2:8" ht="15.75" thickBot="1" x14ac:dyDescent="0.3">
      <c r="B78" s="59">
        <v>5.9</v>
      </c>
      <c r="D78">
        <f t="shared" si="8"/>
        <v>75</v>
      </c>
      <c r="E78">
        <f t="shared" si="6"/>
        <v>5.9000000000000004E-2</v>
      </c>
      <c r="G78" s="59">
        <v>1.65</v>
      </c>
      <c r="H78" s="62">
        <f t="shared" si="7"/>
        <v>16500000</v>
      </c>
    </row>
    <row r="79" spans="2:8" ht="15.75" thickBot="1" x14ac:dyDescent="0.3">
      <c r="B79" s="59">
        <v>6.04</v>
      </c>
      <c r="D79">
        <f t="shared" si="8"/>
        <v>76</v>
      </c>
      <c r="E79">
        <f t="shared" si="6"/>
        <v>6.0400000000000002E-2</v>
      </c>
      <c r="G79" s="59">
        <v>1.62</v>
      </c>
      <c r="H79" s="62">
        <f t="shared" si="7"/>
        <v>16200000.000000002</v>
      </c>
    </row>
    <row r="80" spans="2:8" ht="15.75" thickBot="1" x14ac:dyDescent="0.3">
      <c r="B80" s="59">
        <v>6.19</v>
      </c>
      <c r="D80">
        <f t="shared" si="8"/>
        <v>77</v>
      </c>
      <c r="E80">
        <f t="shared" si="6"/>
        <v>6.1900000000000004E-2</v>
      </c>
      <c r="G80" s="59">
        <v>1.58</v>
      </c>
      <c r="H80" s="62">
        <f t="shared" si="7"/>
        <v>15800000</v>
      </c>
    </row>
    <row r="81" spans="2:8" ht="15.75" thickBot="1" x14ac:dyDescent="0.3">
      <c r="B81" s="59">
        <v>6.34</v>
      </c>
      <c r="D81">
        <f t="shared" si="8"/>
        <v>78</v>
      </c>
      <c r="E81">
        <f t="shared" si="6"/>
        <v>6.3399999999999998E-2</v>
      </c>
      <c r="G81" s="59">
        <v>1.54</v>
      </c>
      <c r="H81" s="62">
        <f t="shared" si="7"/>
        <v>15400000</v>
      </c>
    </row>
    <row r="82" spans="2:8" ht="15.75" thickBot="1" x14ac:dyDescent="0.3">
      <c r="B82" s="59">
        <v>6.49</v>
      </c>
      <c r="D82">
        <f t="shared" si="8"/>
        <v>79</v>
      </c>
      <c r="E82">
        <f t="shared" si="6"/>
        <v>6.4899999999999999E-2</v>
      </c>
      <c r="G82" s="59">
        <v>1.5</v>
      </c>
      <c r="H82" s="62">
        <f t="shared" si="7"/>
        <v>15000000</v>
      </c>
    </row>
    <row r="83" spans="2:8" ht="15.75" thickBot="1" x14ac:dyDescent="0.3">
      <c r="B83" s="59">
        <v>6.65</v>
      </c>
      <c r="D83">
        <f t="shared" si="8"/>
        <v>80</v>
      </c>
      <c r="E83">
        <f t="shared" si="6"/>
        <v>6.6500000000000004E-2</v>
      </c>
      <c r="G83" s="59">
        <v>1.47</v>
      </c>
      <c r="H83" s="62">
        <f t="shared" si="7"/>
        <v>14700000</v>
      </c>
    </row>
    <row r="84" spans="2:8" ht="15.75" thickBot="1" x14ac:dyDescent="0.3">
      <c r="B84" s="59">
        <v>6.81</v>
      </c>
      <c r="D84">
        <f t="shared" si="8"/>
        <v>81</v>
      </c>
      <c r="E84">
        <f t="shared" si="6"/>
        <v>6.8099999999999994E-2</v>
      </c>
      <c r="G84" s="59">
        <v>1.43</v>
      </c>
      <c r="H84" s="62">
        <f t="shared" si="7"/>
        <v>14300000</v>
      </c>
    </row>
    <row r="85" spans="2:8" ht="15.75" thickBot="1" x14ac:dyDescent="0.3">
      <c r="B85" s="59">
        <v>6.98</v>
      </c>
      <c r="D85">
        <f t="shared" si="8"/>
        <v>82</v>
      </c>
      <c r="E85">
        <f t="shared" si="6"/>
        <v>6.9800000000000001E-2</v>
      </c>
      <c r="G85" s="59">
        <v>1.4</v>
      </c>
      <c r="H85" s="62">
        <f t="shared" si="7"/>
        <v>14000000</v>
      </c>
    </row>
    <row r="86" spans="2:8" ht="15.75" thickBot="1" x14ac:dyDescent="0.3">
      <c r="B86" s="59">
        <v>7.15</v>
      </c>
      <c r="D86">
        <f t="shared" si="8"/>
        <v>83</v>
      </c>
      <c r="E86">
        <f t="shared" si="6"/>
        <v>7.1500000000000008E-2</v>
      </c>
      <c r="G86" s="59">
        <v>1.37</v>
      </c>
      <c r="H86" s="62">
        <f t="shared" si="7"/>
        <v>13700000.000000002</v>
      </c>
    </row>
    <row r="87" spans="2:8" ht="15.75" thickBot="1" x14ac:dyDescent="0.3">
      <c r="B87" s="59">
        <v>7.32</v>
      </c>
      <c r="D87">
        <f t="shared" si="8"/>
        <v>84</v>
      </c>
      <c r="E87">
        <f t="shared" si="6"/>
        <v>7.3200000000000001E-2</v>
      </c>
      <c r="G87" s="59">
        <v>1.33</v>
      </c>
      <c r="H87" s="62">
        <f t="shared" si="7"/>
        <v>13300000</v>
      </c>
    </row>
    <row r="88" spans="2:8" ht="15.75" thickBot="1" x14ac:dyDescent="0.3">
      <c r="B88" s="59">
        <v>7.5</v>
      </c>
      <c r="D88">
        <f t="shared" si="8"/>
        <v>85</v>
      </c>
      <c r="E88">
        <f t="shared" si="6"/>
        <v>7.4999999999999997E-2</v>
      </c>
      <c r="G88" s="59">
        <v>1.3</v>
      </c>
      <c r="H88" s="62">
        <f t="shared" si="7"/>
        <v>13000000</v>
      </c>
    </row>
    <row r="89" spans="2:8" ht="15.75" thickBot="1" x14ac:dyDescent="0.3">
      <c r="B89" s="59">
        <v>7.68</v>
      </c>
      <c r="D89">
        <f t="shared" si="8"/>
        <v>86</v>
      </c>
      <c r="E89">
        <f t="shared" si="6"/>
        <v>7.6799999999999993E-2</v>
      </c>
      <c r="G89" s="59">
        <v>1.27</v>
      </c>
      <c r="H89" s="62">
        <f t="shared" si="7"/>
        <v>12700000</v>
      </c>
    </row>
    <row r="90" spans="2:8" ht="15.75" thickBot="1" x14ac:dyDescent="0.3">
      <c r="B90" s="59">
        <v>7.87</v>
      </c>
      <c r="D90">
        <f t="shared" si="8"/>
        <v>87</v>
      </c>
      <c r="E90">
        <f t="shared" si="6"/>
        <v>7.8700000000000006E-2</v>
      </c>
      <c r="G90" s="59">
        <v>1.24</v>
      </c>
      <c r="H90" s="62">
        <f t="shared" si="7"/>
        <v>12400000</v>
      </c>
    </row>
    <row r="91" spans="2:8" ht="15.75" thickBot="1" x14ac:dyDescent="0.3">
      <c r="B91" s="59">
        <v>8.06</v>
      </c>
      <c r="D91">
        <f t="shared" si="8"/>
        <v>88</v>
      </c>
      <c r="E91">
        <f t="shared" si="6"/>
        <v>8.0600000000000005E-2</v>
      </c>
      <c r="G91" s="59">
        <v>1.21</v>
      </c>
      <c r="H91" s="62">
        <f t="shared" si="7"/>
        <v>12100000</v>
      </c>
    </row>
    <row r="92" spans="2:8" ht="15.75" thickBot="1" x14ac:dyDescent="0.3">
      <c r="B92" s="59">
        <v>8.25</v>
      </c>
      <c r="D92">
        <f t="shared" si="8"/>
        <v>89</v>
      </c>
      <c r="E92">
        <f t="shared" si="6"/>
        <v>8.2500000000000004E-2</v>
      </c>
      <c r="G92" s="59">
        <v>1.18</v>
      </c>
      <c r="H92" s="62">
        <f t="shared" si="7"/>
        <v>11800000</v>
      </c>
    </row>
    <row r="93" spans="2:8" ht="15.75" thickBot="1" x14ac:dyDescent="0.3">
      <c r="B93" s="59">
        <v>8.4499999999999993</v>
      </c>
      <c r="D93">
        <f t="shared" si="8"/>
        <v>90</v>
      </c>
      <c r="E93">
        <f t="shared" si="6"/>
        <v>8.4499999999999992E-2</v>
      </c>
      <c r="G93" s="59">
        <v>1.1499999999999999</v>
      </c>
      <c r="H93" s="62">
        <f t="shared" si="7"/>
        <v>11500000</v>
      </c>
    </row>
    <row r="94" spans="2:8" ht="15.75" thickBot="1" x14ac:dyDescent="0.3">
      <c r="B94" s="59">
        <v>8.66</v>
      </c>
      <c r="D94">
        <f t="shared" si="8"/>
        <v>91</v>
      </c>
      <c r="E94">
        <f t="shared" si="6"/>
        <v>8.6599999999999996E-2</v>
      </c>
      <c r="G94" s="59">
        <v>1.1299999999999999</v>
      </c>
      <c r="H94" s="62">
        <f t="shared" si="7"/>
        <v>11299999.999999998</v>
      </c>
    </row>
    <row r="95" spans="2:8" ht="15.75" thickBot="1" x14ac:dyDescent="0.3">
      <c r="B95" s="59">
        <v>8.8699999999999992</v>
      </c>
      <c r="D95">
        <f t="shared" si="8"/>
        <v>92</v>
      </c>
      <c r="E95">
        <f t="shared" si="6"/>
        <v>8.8699999999999987E-2</v>
      </c>
      <c r="G95" s="59">
        <v>1.1000000000000001</v>
      </c>
      <c r="H95" s="62">
        <f t="shared" si="7"/>
        <v>11000000</v>
      </c>
    </row>
    <row r="96" spans="2:8" ht="15.75" thickBot="1" x14ac:dyDescent="0.3">
      <c r="B96" s="59">
        <v>9.09</v>
      </c>
      <c r="D96">
        <f t="shared" si="8"/>
        <v>93</v>
      </c>
      <c r="E96">
        <f t="shared" si="6"/>
        <v>9.0899999999999995E-2</v>
      </c>
      <c r="G96" s="59">
        <v>1.07</v>
      </c>
      <c r="H96" s="62">
        <f t="shared" si="7"/>
        <v>10700000</v>
      </c>
    </row>
    <row r="97" spans="2:8" ht="15.75" thickBot="1" x14ac:dyDescent="0.3">
      <c r="B97" s="59">
        <v>9.31</v>
      </c>
      <c r="D97">
        <f t="shared" si="8"/>
        <v>94</v>
      </c>
      <c r="E97">
        <f t="shared" si="6"/>
        <v>9.3100000000000002E-2</v>
      </c>
      <c r="G97" s="59">
        <v>1.05</v>
      </c>
      <c r="H97" s="62">
        <f t="shared" si="7"/>
        <v>10500000</v>
      </c>
    </row>
    <row r="98" spans="2:8" ht="15.75" thickBot="1" x14ac:dyDescent="0.3">
      <c r="B98" s="59">
        <v>9.5299999999999994</v>
      </c>
      <c r="D98">
        <f t="shared" si="8"/>
        <v>95</v>
      </c>
      <c r="E98">
        <f t="shared" si="6"/>
        <v>9.5299999999999996E-2</v>
      </c>
      <c r="G98" s="59">
        <v>1.02</v>
      </c>
      <c r="H98" s="62">
        <f t="shared" si="7"/>
        <v>10200000</v>
      </c>
    </row>
    <row r="99" spans="2:8" ht="15.75" thickBot="1" x14ac:dyDescent="0.3">
      <c r="B99" s="59">
        <v>9.76</v>
      </c>
      <c r="D99">
        <f t="shared" si="8"/>
        <v>96</v>
      </c>
      <c r="E99">
        <f t="shared" si="6"/>
        <v>9.7600000000000006E-2</v>
      </c>
      <c r="G99" s="59">
        <v>1</v>
      </c>
      <c r="H99" s="62">
        <f t="shared" si="7"/>
        <v>10000000</v>
      </c>
    </row>
    <row r="100" spans="2:8" x14ac:dyDescent="0.25">
      <c r="D100">
        <f t="shared" si="8"/>
        <v>97</v>
      </c>
      <c r="E100">
        <f>10*E4</f>
        <v>0.1</v>
      </c>
      <c r="H100" s="62">
        <f>H4/10</f>
        <v>9760000</v>
      </c>
    </row>
    <row r="101" spans="2:8" x14ac:dyDescent="0.25">
      <c r="D101">
        <f t="shared" si="8"/>
        <v>98</v>
      </c>
      <c r="E101">
        <f t="shared" ref="E101:E164" si="9">10*E5</f>
        <v>0.10200000000000001</v>
      </c>
      <c r="H101" s="62">
        <f t="shared" ref="H101:H164" si="10">H5/10</f>
        <v>9530000</v>
      </c>
    </row>
    <row r="102" spans="2:8" x14ac:dyDescent="0.25">
      <c r="D102">
        <f t="shared" si="8"/>
        <v>99</v>
      </c>
      <c r="E102">
        <f t="shared" si="9"/>
        <v>0.10500000000000001</v>
      </c>
      <c r="H102" s="62">
        <f t="shared" si="10"/>
        <v>9310000</v>
      </c>
    </row>
    <row r="103" spans="2:8" x14ac:dyDescent="0.25">
      <c r="D103">
        <f t="shared" si="8"/>
        <v>100</v>
      </c>
      <c r="E103">
        <f t="shared" si="9"/>
        <v>0.10700000000000001</v>
      </c>
      <c r="H103" s="62">
        <f t="shared" si="10"/>
        <v>9090000</v>
      </c>
    </row>
    <row r="104" spans="2:8" x14ac:dyDescent="0.25">
      <c r="D104">
        <f t="shared" si="8"/>
        <v>101</v>
      </c>
      <c r="E104">
        <f t="shared" si="9"/>
        <v>0.11000000000000001</v>
      </c>
      <c r="H104" s="62">
        <f t="shared" si="10"/>
        <v>8869999.9999999981</v>
      </c>
    </row>
    <row r="105" spans="2:8" x14ac:dyDescent="0.25">
      <c r="D105">
        <f t="shared" si="8"/>
        <v>102</v>
      </c>
      <c r="E105">
        <f t="shared" si="9"/>
        <v>0.11299999999999999</v>
      </c>
      <c r="H105" s="62">
        <f t="shared" si="10"/>
        <v>8660000</v>
      </c>
    </row>
    <row r="106" spans="2:8" x14ac:dyDescent="0.25">
      <c r="D106">
        <f t="shared" si="8"/>
        <v>103</v>
      </c>
      <c r="E106">
        <f t="shared" si="9"/>
        <v>0.11499999999999999</v>
      </c>
      <c r="H106" s="62">
        <f t="shared" si="10"/>
        <v>8450000</v>
      </c>
    </row>
    <row r="107" spans="2:8" x14ac:dyDescent="0.25">
      <c r="D107">
        <f t="shared" si="8"/>
        <v>104</v>
      </c>
      <c r="E107">
        <f t="shared" si="9"/>
        <v>0.11799999999999999</v>
      </c>
      <c r="H107" s="62">
        <f t="shared" si="10"/>
        <v>8250000</v>
      </c>
    </row>
    <row r="108" spans="2:8" x14ac:dyDescent="0.25">
      <c r="D108">
        <f t="shared" si="8"/>
        <v>105</v>
      </c>
      <c r="E108">
        <f t="shared" si="9"/>
        <v>0.121</v>
      </c>
      <c r="H108" s="62">
        <f t="shared" si="10"/>
        <v>8060000</v>
      </c>
    </row>
    <row r="109" spans="2:8" x14ac:dyDescent="0.25">
      <c r="D109">
        <f t="shared" si="8"/>
        <v>106</v>
      </c>
      <c r="E109">
        <f t="shared" si="9"/>
        <v>0.124</v>
      </c>
      <c r="H109" s="62">
        <f t="shared" si="10"/>
        <v>7870000</v>
      </c>
    </row>
    <row r="110" spans="2:8" x14ac:dyDescent="0.25">
      <c r="D110">
        <f t="shared" si="8"/>
        <v>107</v>
      </c>
      <c r="E110">
        <f t="shared" si="9"/>
        <v>0.127</v>
      </c>
      <c r="H110" s="62">
        <f t="shared" si="10"/>
        <v>7680000</v>
      </c>
    </row>
    <row r="111" spans="2:8" x14ac:dyDescent="0.25">
      <c r="D111">
        <f t="shared" si="8"/>
        <v>108</v>
      </c>
      <c r="E111">
        <f t="shared" si="9"/>
        <v>0.13</v>
      </c>
      <c r="H111" s="62">
        <f t="shared" si="10"/>
        <v>7500000</v>
      </c>
    </row>
    <row r="112" spans="2:8" x14ac:dyDescent="0.25">
      <c r="D112">
        <f t="shared" si="8"/>
        <v>109</v>
      </c>
      <c r="E112">
        <f t="shared" si="9"/>
        <v>0.13300000000000001</v>
      </c>
      <c r="H112" s="62">
        <f t="shared" si="10"/>
        <v>7320000</v>
      </c>
    </row>
    <row r="113" spans="4:8" x14ac:dyDescent="0.25">
      <c r="D113">
        <f t="shared" si="8"/>
        <v>110</v>
      </c>
      <c r="E113">
        <f t="shared" si="9"/>
        <v>0.13700000000000001</v>
      </c>
      <c r="H113" s="62">
        <f t="shared" si="10"/>
        <v>7150000</v>
      </c>
    </row>
    <row r="114" spans="4:8" x14ac:dyDescent="0.25">
      <c r="D114">
        <f t="shared" si="8"/>
        <v>111</v>
      </c>
      <c r="E114">
        <f t="shared" si="9"/>
        <v>0.13999999999999999</v>
      </c>
      <c r="H114" s="62">
        <f t="shared" si="10"/>
        <v>6980000</v>
      </c>
    </row>
    <row r="115" spans="4:8" x14ac:dyDescent="0.25">
      <c r="D115">
        <f t="shared" si="8"/>
        <v>112</v>
      </c>
      <c r="E115">
        <f t="shared" si="9"/>
        <v>0.14300000000000002</v>
      </c>
      <c r="H115" s="62">
        <f t="shared" si="10"/>
        <v>6810000</v>
      </c>
    </row>
    <row r="116" spans="4:8" x14ac:dyDescent="0.25">
      <c r="D116">
        <f t="shared" si="8"/>
        <v>113</v>
      </c>
      <c r="E116">
        <f t="shared" si="9"/>
        <v>0.14699999999999999</v>
      </c>
      <c r="H116" s="62">
        <f t="shared" si="10"/>
        <v>6650000</v>
      </c>
    </row>
    <row r="117" spans="4:8" x14ac:dyDescent="0.25">
      <c r="D117">
        <f t="shared" si="8"/>
        <v>114</v>
      </c>
      <c r="E117">
        <f t="shared" si="9"/>
        <v>0.15</v>
      </c>
      <c r="H117" s="62">
        <f t="shared" si="10"/>
        <v>6490000</v>
      </c>
    </row>
    <row r="118" spans="4:8" x14ac:dyDescent="0.25">
      <c r="D118">
        <f t="shared" si="8"/>
        <v>115</v>
      </c>
      <c r="E118">
        <f t="shared" si="9"/>
        <v>0.154</v>
      </c>
      <c r="H118" s="62">
        <f t="shared" si="10"/>
        <v>6340000</v>
      </c>
    </row>
    <row r="119" spans="4:8" x14ac:dyDescent="0.25">
      <c r="D119">
        <f t="shared" si="8"/>
        <v>116</v>
      </c>
      <c r="E119">
        <f t="shared" si="9"/>
        <v>0.15800000000000003</v>
      </c>
      <c r="H119" s="62">
        <f t="shared" si="10"/>
        <v>6190000.0000000009</v>
      </c>
    </row>
    <row r="120" spans="4:8" x14ac:dyDescent="0.25">
      <c r="D120">
        <f t="shared" si="8"/>
        <v>117</v>
      </c>
      <c r="E120">
        <f t="shared" si="9"/>
        <v>0.16200000000000003</v>
      </c>
      <c r="H120" s="62">
        <f t="shared" si="10"/>
        <v>6040000</v>
      </c>
    </row>
    <row r="121" spans="4:8" x14ac:dyDescent="0.25">
      <c r="D121">
        <f t="shared" si="8"/>
        <v>118</v>
      </c>
      <c r="E121">
        <f t="shared" si="9"/>
        <v>0.16500000000000001</v>
      </c>
      <c r="H121" s="62">
        <f t="shared" si="10"/>
        <v>5900000</v>
      </c>
    </row>
    <row r="122" spans="4:8" x14ac:dyDescent="0.25">
      <c r="D122">
        <f t="shared" si="8"/>
        <v>119</v>
      </c>
      <c r="E122">
        <f t="shared" si="9"/>
        <v>0.16899999999999998</v>
      </c>
      <c r="H122" s="62">
        <f t="shared" si="10"/>
        <v>5760000</v>
      </c>
    </row>
    <row r="123" spans="4:8" x14ac:dyDescent="0.25">
      <c r="D123">
        <f t="shared" si="8"/>
        <v>120</v>
      </c>
      <c r="E123">
        <f t="shared" si="9"/>
        <v>0.17399999999999999</v>
      </c>
      <c r="H123" s="62">
        <f t="shared" si="10"/>
        <v>5620000</v>
      </c>
    </row>
    <row r="124" spans="4:8" x14ac:dyDescent="0.25">
      <c r="D124">
        <f t="shared" si="8"/>
        <v>121</v>
      </c>
      <c r="E124">
        <f t="shared" si="9"/>
        <v>0.17799999999999999</v>
      </c>
      <c r="H124" s="62">
        <f t="shared" si="10"/>
        <v>5490000</v>
      </c>
    </row>
    <row r="125" spans="4:8" x14ac:dyDescent="0.25">
      <c r="D125">
        <f t="shared" si="8"/>
        <v>122</v>
      </c>
      <c r="E125">
        <f t="shared" si="9"/>
        <v>0.182</v>
      </c>
      <c r="H125" s="62">
        <f t="shared" si="10"/>
        <v>5360000</v>
      </c>
    </row>
    <row r="126" spans="4:8" x14ac:dyDescent="0.25">
      <c r="D126">
        <f t="shared" si="8"/>
        <v>123</v>
      </c>
      <c r="E126">
        <f t="shared" si="9"/>
        <v>0.187</v>
      </c>
      <c r="H126" s="62">
        <f t="shared" si="10"/>
        <v>5230000.0000000009</v>
      </c>
    </row>
    <row r="127" spans="4:8" x14ac:dyDescent="0.25">
      <c r="D127">
        <f t="shared" si="8"/>
        <v>124</v>
      </c>
      <c r="E127">
        <f t="shared" si="9"/>
        <v>0.191</v>
      </c>
      <c r="H127" s="62">
        <f t="shared" si="10"/>
        <v>5110000</v>
      </c>
    </row>
    <row r="128" spans="4:8" x14ac:dyDescent="0.25">
      <c r="D128">
        <f t="shared" si="8"/>
        <v>125</v>
      </c>
      <c r="E128">
        <f t="shared" si="9"/>
        <v>0.19600000000000001</v>
      </c>
      <c r="H128" s="62">
        <f t="shared" si="10"/>
        <v>4990000</v>
      </c>
    </row>
    <row r="129" spans="4:8" x14ac:dyDescent="0.25">
      <c r="D129">
        <f t="shared" si="8"/>
        <v>126</v>
      </c>
      <c r="E129">
        <f t="shared" si="9"/>
        <v>0.2</v>
      </c>
      <c r="H129" s="62">
        <f t="shared" si="10"/>
        <v>4870000</v>
      </c>
    </row>
    <row r="130" spans="4:8" x14ac:dyDescent="0.25">
      <c r="D130">
        <f t="shared" si="8"/>
        <v>127</v>
      </c>
      <c r="E130">
        <f t="shared" si="9"/>
        <v>0.20499999999999996</v>
      </c>
      <c r="H130" s="62">
        <f t="shared" si="10"/>
        <v>4750000</v>
      </c>
    </row>
    <row r="131" spans="4:8" x14ac:dyDescent="0.25">
      <c r="D131">
        <f t="shared" si="8"/>
        <v>128</v>
      </c>
      <c r="E131">
        <f t="shared" si="9"/>
        <v>0.21000000000000002</v>
      </c>
      <c r="H131" s="62">
        <f t="shared" si="10"/>
        <v>4640000</v>
      </c>
    </row>
    <row r="132" spans="4:8" x14ac:dyDescent="0.25">
      <c r="D132">
        <f t="shared" si="8"/>
        <v>129</v>
      </c>
      <c r="E132">
        <f t="shared" si="9"/>
        <v>0.21600000000000003</v>
      </c>
      <c r="H132" s="62">
        <f t="shared" si="10"/>
        <v>4530000</v>
      </c>
    </row>
    <row r="133" spans="4:8" x14ac:dyDescent="0.25">
      <c r="D133">
        <f t="shared" si="8"/>
        <v>130</v>
      </c>
      <c r="E133">
        <f t="shared" si="9"/>
        <v>0.22100000000000003</v>
      </c>
      <c r="H133" s="62">
        <f t="shared" si="10"/>
        <v>4420000</v>
      </c>
    </row>
    <row r="134" spans="4:8" x14ac:dyDescent="0.25">
      <c r="D134">
        <f t="shared" ref="D134:D197" si="11">1+D133</f>
        <v>131</v>
      </c>
      <c r="E134">
        <f t="shared" si="9"/>
        <v>0.22599999999999998</v>
      </c>
      <c r="H134" s="62">
        <f t="shared" si="10"/>
        <v>4320000</v>
      </c>
    </row>
    <row r="135" spans="4:8" x14ac:dyDescent="0.25">
      <c r="D135">
        <f t="shared" si="11"/>
        <v>132</v>
      </c>
      <c r="E135">
        <f t="shared" si="9"/>
        <v>0.23199999999999998</v>
      </c>
      <c r="H135" s="62">
        <f t="shared" si="10"/>
        <v>4220000</v>
      </c>
    </row>
    <row r="136" spans="4:8" x14ac:dyDescent="0.25">
      <c r="D136">
        <f t="shared" si="11"/>
        <v>133</v>
      </c>
      <c r="E136">
        <f t="shared" si="9"/>
        <v>0.23700000000000002</v>
      </c>
      <c r="H136" s="62">
        <f t="shared" si="10"/>
        <v>4120000</v>
      </c>
    </row>
    <row r="137" spans="4:8" x14ac:dyDescent="0.25">
      <c r="D137">
        <f t="shared" si="11"/>
        <v>134</v>
      </c>
      <c r="E137">
        <f t="shared" si="9"/>
        <v>0.24300000000000002</v>
      </c>
      <c r="H137" s="62">
        <f t="shared" si="10"/>
        <v>4019999.9999999991</v>
      </c>
    </row>
    <row r="138" spans="4:8" x14ac:dyDescent="0.25">
      <c r="D138">
        <f t="shared" si="11"/>
        <v>135</v>
      </c>
      <c r="E138">
        <f t="shared" si="9"/>
        <v>0.24900000000000003</v>
      </c>
      <c r="H138" s="62">
        <f t="shared" si="10"/>
        <v>3920000</v>
      </c>
    </row>
    <row r="139" spans="4:8" x14ac:dyDescent="0.25">
      <c r="D139">
        <f t="shared" si="11"/>
        <v>136</v>
      </c>
      <c r="E139">
        <f t="shared" si="9"/>
        <v>0.255</v>
      </c>
      <c r="H139" s="62">
        <f t="shared" si="10"/>
        <v>3830000</v>
      </c>
    </row>
    <row r="140" spans="4:8" x14ac:dyDescent="0.25">
      <c r="D140">
        <f t="shared" si="11"/>
        <v>137</v>
      </c>
      <c r="E140">
        <f t="shared" si="9"/>
        <v>0.26100000000000001</v>
      </c>
      <c r="H140" s="62">
        <f t="shared" si="10"/>
        <v>3740000</v>
      </c>
    </row>
    <row r="141" spans="4:8" x14ac:dyDescent="0.25">
      <c r="D141">
        <f t="shared" si="11"/>
        <v>138</v>
      </c>
      <c r="E141">
        <f t="shared" si="9"/>
        <v>0.26700000000000002</v>
      </c>
      <c r="H141" s="62">
        <f t="shared" si="10"/>
        <v>3650000</v>
      </c>
    </row>
    <row r="142" spans="4:8" x14ac:dyDescent="0.25">
      <c r="D142">
        <f t="shared" si="11"/>
        <v>139</v>
      </c>
      <c r="E142">
        <f t="shared" si="9"/>
        <v>0.27400000000000002</v>
      </c>
      <c r="H142" s="62">
        <f t="shared" si="10"/>
        <v>3570000</v>
      </c>
    </row>
    <row r="143" spans="4:8" x14ac:dyDescent="0.25">
      <c r="D143">
        <f t="shared" si="11"/>
        <v>140</v>
      </c>
      <c r="E143">
        <f t="shared" si="9"/>
        <v>0.27999999999999997</v>
      </c>
      <c r="H143" s="62">
        <f t="shared" si="10"/>
        <v>3480000</v>
      </c>
    </row>
    <row r="144" spans="4:8" x14ac:dyDescent="0.25">
      <c r="D144">
        <f t="shared" si="11"/>
        <v>141</v>
      </c>
      <c r="E144">
        <f t="shared" si="9"/>
        <v>0.28700000000000003</v>
      </c>
      <c r="H144" s="62">
        <f t="shared" si="10"/>
        <v>3400000</v>
      </c>
    </row>
    <row r="145" spans="4:8" x14ac:dyDescent="0.25">
      <c r="D145">
        <f t="shared" si="11"/>
        <v>142</v>
      </c>
      <c r="E145">
        <f t="shared" si="9"/>
        <v>0.29399999999999998</v>
      </c>
      <c r="H145" s="62">
        <f t="shared" si="10"/>
        <v>3320000</v>
      </c>
    </row>
    <row r="146" spans="4:8" x14ac:dyDescent="0.25">
      <c r="D146">
        <f t="shared" si="11"/>
        <v>143</v>
      </c>
      <c r="E146">
        <f t="shared" si="9"/>
        <v>0.30099999999999999</v>
      </c>
      <c r="H146" s="62">
        <f t="shared" si="10"/>
        <v>3240000.0000000005</v>
      </c>
    </row>
    <row r="147" spans="4:8" x14ac:dyDescent="0.25">
      <c r="D147">
        <f t="shared" si="11"/>
        <v>144</v>
      </c>
      <c r="E147">
        <f t="shared" si="9"/>
        <v>0.309</v>
      </c>
      <c r="H147" s="62">
        <f t="shared" si="10"/>
        <v>3160000</v>
      </c>
    </row>
    <row r="148" spans="4:8" x14ac:dyDescent="0.25">
      <c r="D148">
        <f t="shared" si="11"/>
        <v>145</v>
      </c>
      <c r="E148">
        <f t="shared" si="9"/>
        <v>0.31600000000000006</v>
      </c>
      <c r="H148" s="62">
        <f t="shared" si="10"/>
        <v>3090000</v>
      </c>
    </row>
    <row r="149" spans="4:8" x14ac:dyDescent="0.25">
      <c r="D149">
        <f t="shared" si="11"/>
        <v>146</v>
      </c>
      <c r="E149">
        <f t="shared" si="9"/>
        <v>0.32400000000000007</v>
      </c>
      <c r="H149" s="62">
        <f t="shared" si="10"/>
        <v>3009999.9999999995</v>
      </c>
    </row>
    <row r="150" spans="4:8" x14ac:dyDescent="0.25">
      <c r="D150">
        <f t="shared" si="11"/>
        <v>147</v>
      </c>
      <c r="E150">
        <f t="shared" si="9"/>
        <v>0.33200000000000002</v>
      </c>
      <c r="H150" s="62">
        <f t="shared" si="10"/>
        <v>2940000</v>
      </c>
    </row>
    <row r="151" spans="4:8" x14ac:dyDescent="0.25">
      <c r="D151">
        <f t="shared" si="11"/>
        <v>148</v>
      </c>
      <c r="E151">
        <f t="shared" si="9"/>
        <v>0.34</v>
      </c>
      <c r="H151" s="62">
        <f t="shared" si="10"/>
        <v>2870000</v>
      </c>
    </row>
    <row r="152" spans="4:8" x14ac:dyDescent="0.25">
      <c r="D152">
        <f t="shared" si="11"/>
        <v>149</v>
      </c>
      <c r="E152">
        <f t="shared" si="9"/>
        <v>0.34799999999999998</v>
      </c>
      <c r="H152" s="62">
        <f t="shared" si="10"/>
        <v>2800000</v>
      </c>
    </row>
    <row r="153" spans="4:8" x14ac:dyDescent="0.25">
      <c r="D153">
        <f t="shared" si="11"/>
        <v>150</v>
      </c>
      <c r="E153">
        <f t="shared" si="9"/>
        <v>0.35700000000000004</v>
      </c>
      <c r="H153" s="62">
        <f t="shared" si="10"/>
        <v>2740000.0000000005</v>
      </c>
    </row>
    <row r="154" spans="4:8" x14ac:dyDescent="0.25">
      <c r="D154">
        <f t="shared" si="11"/>
        <v>151</v>
      </c>
      <c r="E154">
        <f t="shared" si="9"/>
        <v>0.36499999999999999</v>
      </c>
      <c r="H154" s="62">
        <f t="shared" si="10"/>
        <v>2670000</v>
      </c>
    </row>
    <row r="155" spans="4:8" x14ac:dyDescent="0.25">
      <c r="D155">
        <f t="shared" si="11"/>
        <v>152</v>
      </c>
      <c r="E155">
        <f t="shared" si="9"/>
        <v>0.374</v>
      </c>
      <c r="H155" s="62">
        <f t="shared" si="10"/>
        <v>2610000</v>
      </c>
    </row>
    <row r="156" spans="4:8" x14ac:dyDescent="0.25">
      <c r="D156">
        <f t="shared" si="11"/>
        <v>153</v>
      </c>
      <c r="E156">
        <f t="shared" si="9"/>
        <v>0.38300000000000001</v>
      </c>
      <c r="H156" s="62">
        <f t="shared" si="10"/>
        <v>2550000</v>
      </c>
    </row>
    <row r="157" spans="4:8" x14ac:dyDescent="0.25">
      <c r="D157">
        <f t="shared" si="11"/>
        <v>154</v>
      </c>
      <c r="E157">
        <f t="shared" si="9"/>
        <v>0.39200000000000002</v>
      </c>
      <c r="H157" s="62">
        <f t="shared" si="10"/>
        <v>2490000.0000000005</v>
      </c>
    </row>
    <row r="158" spans="4:8" x14ac:dyDescent="0.25">
      <c r="D158">
        <f t="shared" si="11"/>
        <v>155</v>
      </c>
      <c r="E158">
        <f t="shared" si="9"/>
        <v>0.40200000000000002</v>
      </c>
      <c r="H158" s="62">
        <f t="shared" si="10"/>
        <v>2430000</v>
      </c>
    </row>
    <row r="159" spans="4:8" x14ac:dyDescent="0.25">
      <c r="D159">
        <f t="shared" si="11"/>
        <v>156</v>
      </c>
      <c r="E159">
        <f t="shared" si="9"/>
        <v>0.41200000000000003</v>
      </c>
      <c r="H159" s="62">
        <f t="shared" si="10"/>
        <v>2370000</v>
      </c>
    </row>
    <row r="160" spans="4:8" x14ac:dyDescent="0.25">
      <c r="D160">
        <f t="shared" si="11"/>
        <v>157</v>
      </c>
      <c r="E160">
        <f t="shared" si="9"/>
        <v>0.42200000000000004</v>
      </c>
      <c r="H160" s="62">
        <f t="shared" si="10"/>
        <v>2320000</v>
      </c>
    </row>
    <row r="161" spans="4:8" x14ac:dyDescent="0.25">
      <c r="D161">
        <f t="shared" si="11"/>
        <v>158</v>
      </c>
      <c r="E161">
        <f t="shared" si="9"/>
        <v>0.43200000000000005</v>
      </c>
      <c r="H161" s="62">
        <f t="shared" si="10"/>
        <v>2259999.9999999995</v>
      </c>
    </row>
    <row r="162" spans="4:8" x14ac:dyDescent="0.25">
      <c r="D162">
        <f t="shared" si="11"/>
        <v>159</v>
      </c>
      <c r="E162">
        <f t="shared" si="9"/>
        <v>0.44200000000000006</v>
      </c>
      <c r="H162" s="62">
        <f t="shared" si="10"/>
        <v>2210000</v>
      </c>
    </row>
    <row r="163" spans="4:8" x14ac:dyDescent="0.25">
      <c r="D163">
        <f t="shared" si="11"/>
        <v>160</v>
      </c>
      <c r="E163">
        <f t="shared" si="9"/>
        <v>0.45300000000000001</v>
      </c>
      <c r="H163" s="62">
        <f t="shared" si="10"/>
        <v>2160000</v>
      </c>
    </row>
    <row r="164" spans="4:8" x14ac:dyDescent="0.25">
      <c r="D164">
        <f t="shared" si="11"/>
        <v>161</v>
      </c>
      <c r="E164">
        <f t="shared" si="9"/>
        <v>0.46399999999999997</v>
      </c>
      <c r="H164" s="62">
        <f t="shared" si="10"/>
        <v>2100000</v>
      </c>
    </row>
    <row r="165" spans="4:8" x14ac:dyDescent="0.25">
      <c r="D165">
        <f t="shared" si="11"/>
        <v>162</v>
      </c>
      <c r="E165">
        <f t="shared" ref="E165:E228" si="12">10*E69</f>
        <v>0.47499999999999998</v>
      </c>
      <c r="H165" s="62">
        <f t="shared" ref="H165:H228" si="13">H69/10</f>
        <v>2050000</v>
      </c>
    </row>
    <row r="166" spans="4:8" x14ac:dyDescent="0.25">
      <c r="D166">
        <f t="shared" si="11"/>
        <v>163</v>
      </c>
      <c r="E166">
        <f t="shared" si="12"/>
        <v>0.48699999999999999</v>
      </c>
      <c r="H166" s="62">
        <f t="shared" si="13"/>
        <v>2000000</v>
      </c>
    </row>
    <row r="167" spans="4:8" x14ac:dyDescent="0.25">
      <c r="D167">
        <f t="shared" si="11"/>
        <v>164</v>
      </c>
      <c r="E167">
        <f t="shared" si="12"/>
        <v>0.499</v>
      </c>
      <c r="H167" s="62">
        <f t="shared" si="13"/>
        <v>1960000</v>
      </c>
    </row>
    <row r="168" spans="4:8" x14ac:dyDescent="0.25">
      <c r="D168">
        <f t="shared" si="11"/>
        <v>165</v>
      </c>
      <c r="E168">
        <f t="shared" si="12"/>
        <v>0.51100000000000012</v>
      </c>
      <c r="H168" s="62">
        <f t="shared" si="13"/>
        <v>1910000</v>
      </c>
    </row>
    <row r="169" spans="4:8" x14ac:dyDescent="0.25">
      <c r="D169">
        <f t="shared" si="11"/>
        <v>166</v>
      </c>
      <c r="E169">
        <f t="shared" si="12"/>
        <v>0.52300000000000002</v>
      </c>
      <c r="H169" s="62">
        <f t="shared" si="13"/>
        <v>1870000</v>
      </c>
    </row>
    <row r="170" spans="4:8" x14ac:dyDescent="0.25">
      <c r="D170">
        <f t="shared" si="11"/>
        <v>167</v>
      </c>
      <c r="E170">
        <f t="shared" si="12"/>
        <v>0.53600000000000003</v>
      </c>
      <c r="H170" s="62">
        <f t="shared" si="13"/>
        <v>1820000</v>
      </c>
    </row>
    <row r="171" spans="4:8" x14ac:dyDescent="0.25">
      <c r="D171">
        <f t="shared" si="11"/>
        <v>168</v>
      </c>
      <c r="E171">
        <f t="shared" si="12"/>
        <v>0.54900000000000004</v>
      </c>
      <c r="H171" s="62">
        <f t="shared" si="13"/>
        <v>1780000</v>
      </c>
    </row>
    <row r="172" spans="4:8" x14ac:dyDescent="0.25">
      <c r="D172">
        <f t="shared" si="11"/>
        <v>169</v>
      </c>
      <c r="E172">
        <f t="shared" si="12"/>
        <v>0.56200000000000006</v>
      </c>
      <c r="H172" s="62">
        <f t="shared" si="13"/>
        <v>1740000</v>
      </c>
    </row>
    <row r="173" spans="4:8" x14ac:dyDescent="0.25">
      <c r="D173">
        <f t="shared" si="11"/>
        <v>170</v>
      </c>
      <c r="E173">
        <f t="shared" si="12"/>
        <v>0.57599999999999996</v>
      </c>
      <c r="H173" s="62">
        <f t="shared" si="13"/>
        <v>1690000</v>
      </c>
    </row>
    <row r="174" spans="4:8" x14ac:dyDescent="0.25">
      <c r="D174">
        <f t="shared" si="11"/>
        <v>171</v>
      </c>
      <c r="E174">
        <f t="shared" si="12"/>
        <v>0.59000000000000008</v>
      </c>
      <c r="H174" s="62">
        <f t="shared" si="13"/>
        <v>1650000</v>
      </c>
    </row>
    <row r="175" spans="4:8" x14ac:dyDescent="0.25">
      <c r="D175">
        <f t="shared" si="11"/>
        <v>172</v>
      </c>
      <c r="E175">
        <f t="shared" si="12"/>
        <v>0.60399999999999998</v>
      </c>
      <c r="H175" s="62">
        <f t="shared" si="13"/>
        <v>1620000.0000000002</v>
      </c>
    </row>
    <row r="176" spans="4:8" x14ac:dyDescent="0.25">
      <c r="D176">
        <f t="shared" si="11"/>
        <v>173</v>
      </c>
      <c r="E176">
        <f t="shared" si="12"/>
        <v>0.61899999999999999</v>
      </c>
      <c r="H176" s="62">
        <f t="shared" si="13"/>
        <v>1580000</v>
      </c>
    </row>
    <row r="177" spans="4:8" x14ac:dyDescent="0.25">
      <c r="D177">
        <f t="shared" si="11"/>
        <v>174</v>
      </c>
      <c r="E177">
        <f t="shared" si="12"/>
        <v>0.63400000000000001</v>
      </c>
      <c r="H177" s="62">
        <f t="shared" si="13"/>
        <v>1540000</v>
      </c>
    </row>
    <row r="178" spans="4:8" x14ac:dyDescent="0.25">
      <c r="D178">
        <f t="shared" si="11"/>
        <v>175</v>
      </c>
      <c r="E178">
        <f t="shared" si="12"/>
        <v>0.64900000000000002</v>
      </c>
      <c r="H178" s="62">
        <f t="shared" si="13"/>
        <v>1500000</v>
      </c>
    </row>
    <row r="179" spans="4:8" x14ac:dyDescent="0.25">
      <c r="D179">
        <f t="shared" si="11"/>
        <v>176</v>
      </c>
      <c r="E179">
        <f t="shared" si="12"/>
        <v>0.66500000000000004</v>
      </c>
      <c r="H179" s="62">
        <f t="shared" si="13"/>
        <v>1470000</v>
      </c>
    </row>
    <row r="180" spans="4:8" x14ac:dyDescent="0.25">
      <c r="D180">
        <f t="shared" si="11"/>
        <v>177</v>
      </c>
      <c r="E180">
        <f t="shared" si="12"/>
        <v>0.68099999999999994</v>
      </c>
      <c r="H180" s="62">
        <f t="shared" si="13"/>
        <v>1430000</v>
      </c>
    </row>
    <row r="181" spans="4:8" x14ac:dyDescent="0.25">
      <c r="D181">
        <f t="shared" si="11"/>
        <v>178</v>
      </c>
      <c r="E181">
        <f t="shared" si="12"/>
        <v>0.69799999999999995</v>
      </c>
      <c r="H181" s="62">
        <f t="shared" si="13"/>
        <v>1400000</v>
      </c>
    </row>
    <row r="182" spans="4:8" x14ac:dyDescent="0.25">
      <c r="D182">
        <f t="shared" si="11"/>
        <v>179</v>
      </c>
      <c r="E182">
        <f t="shared" si="12"/>
        <v>0.71500000000000008</v>
      </c>
      <c r="H182" s="62">
        <f t="shared" si="13"/>
        <v>1370000.0000000002</v>
      </c>
    </row>
    <row r="183" spans="4:8" x14ac:dyDescent="0.25">
      <c r="D183">
        <f t="shared" si="11"/>
        <v>180</v>
      </c>
      <c r="E183">
        <f t="shared" si="12"/>
        <v>0.73199999999999998</v>
      </c>
      <c r="H183" s="62">
        <f t="shared" si="13"/>
        <v>1330000</v>
      </c>
    </row>
    <row r="184" spans="4:8" x14ac:dyDescent="0.25">
      <c r="D184">
        <f t="shared" si="11"/>
        <v>181</v>
      </c>
      <c r="E184">
        <f t="shared" si="12"/>
        <v>0.75</v>
      </c>
      <c r="H184" s="62">
        <f t="shared" si="13"/>
        <v>1300000</v>
      </c>
    </row>
    <row r="185" spans="4:8" x14ac:dyDescent="0.25">
      <c r="D185">
        <f t="shared" si="11"/>
        <v>182</v>
      </c>
      <c r="E185">
        <f t="shared" si="12"/>
        <v>0.7679999999999999</v>
      </c>
      <c r="H185" s="62">
        <f t="shared" si="13"/>
        <v>1270000</v>
      </c>
    </row>
    <row r="186" spans="4:8" x14ac:dyDescent="0.25">
      <c r="D186">
        <f t="shared" si="11"/>
        <v>183</v>
      </c>
      <c r="E186">
        <f t="shared" si="12"/>
        <v>0.78700000000000003</v>
      </c>
      <c r="H186" s="62">
        <f t="shared" si="13"/>
        <v>1240000</v>
      </c>
    </row>
    <row r="187" spans="4:8" x14ac:dyDescent="0.25">
      <c r="D187">
        <f t="shared" si="11"/>
        <v>184</v>
      </c>
      <c r="E187">
        <f t="shared" si="12"/>
        <v>0.80600000000000005</v>
      </c>
      <c r="H187" s="62">
        <f t="shared" si="13"/>
        <v>1210000</v>
      </c>
    </row>
    <row r="188" spans="4:8" x14ac:dyDescent="0.25">
      <c r="D188">
        <f t="shared" si="11"/>
        <v>185</v>
      </c>
      <c r="E188">
        <f t="shared" si="12"/>
        <v>0.82500000000000007</v>
      </c>
      <c r="H188" s="62">
        <f t="shared" si="13"/>
        <v>1180000</v>
      </c>
    </row>
    <row r="189" spans="4:8" x14ac:dyDescent="0.25">
      <c r="D189">
        <f t="shared" si="11"/>
        <v>186</v>
      </c>
      <c r="E189">
        <f t="shared" si="12"/>
        <v>0.84499999999999997</v>
      </c>
      <c r="H189" s="62">
        <f t="shared" si="13"/>
        <v>1150000</v>
      </c>
    </row>
    <row r="190" spans="4:8" x14ac:dyDescent="0.25">
      <c r="D190">
        <f t="shared" si="11"/>
        <v>187</v>
      </c>
      <c r="E190">
        <f t="shared" si="12"/>
        <v>0.86599999999999999</v>
      </c>
      <c r="H190" s="62">
        <f t="shared" si="13"/>
        <v>1129999.9999999998</v>
      </c>
    </row>
    <row r="191" spans="4:8" x14ac:dyDescent="0.25">
      <c r="D191">
        <f t="shared" si="11"/>
        <v>188</v>
      </c>
      <c r="E191">
        <f t="shared" si="12"/>
        <v>0.8869999999999999</v>
      </c>
      <c r="H191" s="62">
        <f t="shared" si="13"/>
        <v>1100000</v>
      </c>
    </row>
    <row r="192" spans="4:8" x14ac:dyDescent="0.25">
      <c r="D192">
        <f t="shared" si="11"/>
        <v>189</v>
      </c>
      <c r="E192">
        <f t="shared" si="12"/>
        <v>0.90899999999999992</v>
      </c>
      <c r="H192" s="62">
        <f t="shared" si="13"/>
        <v>1070000</v>
      </c>
    </row>
    <row r="193" spans="4:8" x14ac:dyDescent="0.25">
      <c r="D193">
        <f t="shared" si="11"/>
        <v>190</v>
      </c>
      <c r="E193">
        <f t="shared" si="12"/>
        <v>0.93100000000000005</v>
      </c>
      <c r="H193" s="62">
        <f t="shared" si="13"/>
        <v>1050000</v>
      </c>
    </row>
    <row r="194" spans="4:8" x14ac:dyDescent="0.25">
      <c r="D194">
        <f t="shared" si="11"/>
        <v>191</v>
      </c>
      <c r="E194">
        <f t="shared" si="12"/>
        <v>0.95299999999999996</v>
      </c>
      <c r="H194" s="62">
        <f t="shared" si="13"/>
        <v>1020000</v>
      </c>
    </row>
    <row r="195" spans="4:8" x14ac:dyDescent="0.25">
      <c r="D195">
        <f t="shared" si="11"/>
        <v>192</v>
      </c>
      <c r="E195">
        <f t="shared" si="12"/>
        <v>0.97600000000000009</v>
      </c>
      <c r="H195" s="62">
        <f t="shared" si="13"/>
        <v>1000000</v>
      </c>
    </row>
    <row r="196" spans="4:8" x14ac:dyDescent="0.25">
      <c r="D196">
        <f t="shared" si="11"/>
        <v>193</v>
      </c>
      <c r="E196">
        <f t="shared" si="12"/>
        <v>1</v>
      </c>
      <c r="H196" s="62">
        <f t="shared" si="13"/>
        <v>976000</v>
      </c>
    </row>
    <row r="197" spans="4:8" x14ac:dyDescent="0.25">
      <c r="D197">
        <f t="shared" si="11"/>
        <v>194</v>
      </c>
      <c r="E197">
        <f t="shared" si="12"/>
        <v>1.02</v>
      </c>
      <c r="H197" s="62">
        <f t="shared" si="13"/>
        <v>953000</v>
      </c>
    </row>
    <row r="198" spans="4:8" x14ac:dyDescent="0.25">
      <c r="D198">
        <f t="shared" ref="D198:D261" si="14">1+D197</f>
        <v>195</v>
      </c>
      <c r="E198">
        <f t="shared" si="12"/>
        <v>1.05</v>
      </c>
      <c r="H198" s="62">
        <f t="shared" si="13"/>
        <v>931000</v>
      </c>
    </row>
    <row r="199" spans="4:8" x14ac:dyDescent="0.25">
      <c r="D199">
        <f t="shared" si="14"/>
        <v>196</v>
      </c>
      <c r="E199">
        <f t="shared" si="12"/>
        <v>1.07</v>
      </c>
      <c r="H199" s="62">
        <f t="shared" si="13"/>
        <v>909000</v>
      </c>
    </row>
    <row r="200" spans="4:8" x14ac:dyDescent="0.25">
      <c r="D200">
        <f t="shared" si="14"/>
        <v>197</v>
      </c>
      <c r="E200">
        <f t="shared" si="12"/>
        <v>1.1000000000000001</v>
      </c>
      <c r="H200" s="62">
        <f t="shared" si="13"/>
        <v>886999.99999999977</v>
      </c>
    </row>
    <row r="201" spans="4:8" x14ac:dyDescent="0.25">
      <c r="D201">
        <f t="shared" si="14"/>
        <v>198</v>
      </c>
      <c r="E201">
        <f t="shared" si="12"/>
        <v>1.1299999999999999</v>
      </c>
      <c r="H201" s="62">
        <f t="shared" si="13"/>
        <v>866000</v>
      </c>
    </row>
    <row r="202" spans="4:8" x14ac:dyDescent="0.25">
      <c r="D202">
        <f t="shared" si="14"/>
        <v>199</v>
      </c>
      <c r="E202">
        <f t="shared" si="12"/>
        <v>1.1499999999999999</v>
      </c>
      <c r="H202" s="62">
        <f t="shared" si="13"/>
        <v>845000</v>
      </c>
    </row>
    <row r="203" spans="4:8" x14ac:dyDescent="0.25">
      <c r="D203">
        <f t="shared" si="14"/>
        <v>200</v>
      </c>
      <c r="E203">
        <f t="shared" si="12"/>
        <v>1.18</v>
      </c>
      <c r="H203" s="62">
        <f t="shared" si="13"/>
        <v>825000</v>
      </c>
    </row>
    <row r="204" spans="4:8" x14ac:dyDescent="0.25">
      <c r="D204">
        <f t="shared" si="14"/>
        <v>201</v>
      </c>
      <c r="E204">
        <f t="shared" si="12"/>
        <v>1.21</v>
      </c>
      <c r="H204" s="62">
        <f t="shared" si="13"/>
        <v>806000</v>
      </c>
    </row>
    <row r="205" spans="4:8" x14ac:dyDescent="0.25">
      <c r="D205">
        <f t="shared" si="14"/>
        <v>202</v>
      </c>
      <c r="E205">
        <f t="shared" si="12"/>
        <v>1.24</v>
      </c>
      <c r="H205" s="62">
        <f t="shared" si="13"/>
        <v>787000</v>
      </c>
    </row>
    <row r="206" spans="4:8" x14ac:dyDescent="0.25">
      <c r="D206">
        <f t="shared" si="14"/>
        <v>203</v>
      </c>
      <c r="E206">
        <f t="shared" si="12"/>
        <v>1.27</v>
      </c>
      <c r="H206" s="62">
        <f t="shared" si="13"/>
        <v>768000</v>
      </c>
    </row>
    <row r="207" spans="4:8" x14ac:dyDescent="0.25">
      <c r="D207">
        <f t="shared" si="14"/>
        <v>204</v>
      </c>
      <c r="E207">
        <f t="shared" si="12"/>
        <v>1.3</v>
      </c>
      <c r="H207" s="62">
        <f t="shared" si="13"/>
        <v>750000</v>
      </c>
    </row>
    <row r="208" spans="4:8" x14ac:dyDescent="0.25">
      <c r="D208">
        <f t="shared" si="14"/>
        <v>205</v>
      </c>
      <c r="E208">
        <f t="shared" si="12"/>
        <v>1.33</v>
      </c>
      <c r="H208" s="62">
        <f t="shared" si="13"/>
        <v>732000</v>
      </c>
    </row>
    <row r="209" spans="4:8" x14ac:dyDescent="0.25">
      <c r="D209">
        <f t="shared" si="14"/>
        <v>206</v>
      </c>
      <c r="E209">
        <f t="shared" si="12"/>
        <v>1.37</v>
      </c>
      <c r="H209" s="62">
        <f t="shared" si="13"/>
        <v>715000</v>
      </c>
    </row>
    <row r="210" spans="4:8" x14ac:dyDescent="0.25">
      <c r="D210">
        <f t="shared" si="14"/>
        <v>207</v>
      </c>
      <c r="E210">
        <f t="shared" si="12"/>
        <v>1.4</v>
      </c>
      <c r="H210" s="62">
        <f t="shared" si="13"/>
        <v>698000</v>
      </c>
    </row>
    <row r="211" spans="4:8" x14ac:dyDescent="0.25">
      <c r="D211">
        <f t="shared" si="14"/>
        <v>208</v>
      </c>
      <c r="E211">
        <f t="shared" si="12"/>
        <v>1.4300000000000002</v>
      </c>
      <c r="H211" s="62">
        <f t="shared" si="13"/>
        <v>681000</v>
      </c>
    </row>
    <row r="212" spans="4:8" x14ac:dyDescent="0.25">
      <c r="D212">
        <f t="shared" si="14"/>
        <v>209</v>
      </c>
      <c r="E212">
        <f t="shared" si="12"/>
        <v>1.47</v>
      </c>
      <c r="H212" s="62">
        <f t="shared" si="13"/>
        <v>665000</v>
      </c>
    </row>
    <row r="213" spans="4:8" x14ac:dyDescent="0.25">
      <c r="D213">
        <f t="shared" si="14"/>
        <v>210</v>
      </c>
      <c r="E213">
        <f t="shared" si="12"/>
        <v>1.5</v>
      </c>
      <c r="H213" s="62">
        <f t="shared" si="13"/>
        <v>649000</v>
      </c>
    </row>
    <row r="214" spans="4:8" x14ac:dyDescent="0.25">
      <c r="D214">
        <f t="shared" si="14"/>
        <v>211</v>
      </c>
      <c r="E214">
        <f t="shared" si="12"/>
        <v>1.54</v>
      </c>
      <c r="H214" s="62">
        <f t="shared" si="13"/>
        <v>634000</v>
      </c>
    </row>
    <row r="215" spans="4:8" x14ac:dyDescent="0.25">
      <c r="D215">
        <f t="shared" si="14"/>
        <v>212</v>
      </c>
      <c r="E215">
        <f t="shared" si="12"/>
        <v>1.5800000000000003</v>
      </c>
      <c r="H215" s="62">
        <f t="shared" si="13"/>
        <v>619000.00000000012</v>
      </c>
    </row>
    <row r="216" spans="4:8" x14ac:dyDescent="0.25">
      <c r="D216">
        <f t="shared" si="14"/>
        <v>213</v>
      </c>
      <c r="E216">
        <f t="shared" si="12"/>
        <v>1.6200000000000003</v>
      </c>
      <c r="H216" s="62">
        <f t="shared" si="13"/>
        <v>604000</v>
      </c>
    </row>
    <row r="217" spans="4:8" x14ac:dyDescent="0.25">
      <c r="D217">
        <f t="shared" si="14"/>
        <v>214</v>
      </c>
      <c r="E217">
        <f t="shared" si="12"/>
        <v>1.6500000000000001</v>
      </c>
      <c r="H217" s="62">
        <f t="shared" si="13"/>
        <v>590000</v>
      </c>
    </row>
    <row r="218" spans="4:8" x14ac:dyDescent="0.25">
      <c r="D218">
        <f t="shared" si="14"/>
        <v>215</v>
      </c>
      <c r="E218">
        <f t="shared" si="12"/>
        <v>1.69</v>
      </c>
      <c r="H218" s="62">
        <f t="shared" si="13"/>
        <v>576000</v>
      </c>
    </row>
    <row r="219" spans="4:8" x14ac:dyDescent="0.25">
      <c r="D219">
        <f t="shared" si="14"/>
        <v>216</v>
      </c>
      <c r="E219">
        <f t="shared" si="12"/>
        <v>1.7399999999999998</v>
      </c>
      <c r="H219" s="62">
        <f t="shared" si="13"/>
        <v>562000</v>
      </c>
    </row>
    <row r="220" spans="4:8" x14ac:dyDescent="0.25">
      <c r="D220">
        <f t="shared" si="14"/>
        <v>217</v>
      </c>
      <c r="E220">
        <f t="shared" si="12"/>
        <v>1.7799999999999998</v>
      </c>
      <c r="H220" s="62">
        <f t="shared" si="13"/>
        <v>549000</v>
      </c>
    </row>
    <row r="221" spans="4:8" x14ac:dyDescent="0.25">
      <c r="D221">
        <f t="shared" si="14"/>
        <v>218</v>
      </c>
      <c r="E221">
        <f t="shared" si="12"/>
        <v>1.8199999999999998</v>
      </c>
      <c r="H221" s="62">
        <f t="shared" si="13"/>
        <v>536000</v>
      </c>
    </row>
    <row r="222" spans="4:8" x14ac:dyDescent="0.25">
      <c r="D222">
        <f t="shared" si="14"/>
        <v>219</v>
      </c>
      <c r="E222">
        <f t="shared" si="12"/>
        <v>1.87</v>
      </c>
      <c r="H222" s="62">
        <f t="shared" si="13"/>
        <v>523000.00000000012</v>
      </c>
    </row>
    <row r="223" spans="4:8" x14ac:dyDescent="0.25">
      <c r="D223">
        <f t="shared" si="14"/>
        <v>220</v>
      </c>
      <c r="E223">
        <f t="shared" si="12"/>
        <v>1.9100000000000001</v>
      </c>
      <c r="H223" s="62">
        <f t="shared" si="13"/>
        <v>511000</v>
      </c>
    </row>
    <row r="224" spans="4:8" x14ac:dyDescent="0.25">
      <c r="D224">
        <f t="shared" si="14"/>
        <v>221</v>
      </c>
      <c r="E224">
        <f t="shared" si="12"/>
        <v>1.96</v>
      </c>
      <c r="H224" s="62">
        <f t="shared" si="13"/>
        <v>499000</v>
      </c>
    </row>
    <row r="225" spans="4:8" x14ac:dyDescent="0.25">
      <c r="D225">
        <f t="shared" si="14"/>
        <v>222</v>
      </c>
      <c r="E225">
        <f t="shared" si="12"/>
        <v>2</v>
      </c>
      <c r="H225" s="62">
        <f t="shared" si="13"/>
        <v>487000</v>
      </c>
    </row>
    <row r="226" spans="4:8" x14ac:dyDescent="0.25">
      <c r="D226">
        <f t="shared" si="14"/>
        <v>223</v>
      </c>
      <c r="E226">
        <f t="shared" si="12"/>
        <v>2.0499999999999998</v>
      </c>
      <c r="H226" s="62">
        <f t="shared" si="13"/>
        <v>475000</v>
      </c>
    </row>
    <row r="227" spans="4:8" x14ac:dyDescent="0.25">
      <c r="D227">
        <f t="shared" si="14"/>
        <v>224</v>
      </c>
      <c r="E227">
        <f t="shared" si="12"/>
        <v>2.1</v>
      </c>
      <c r="H227" s="62">
        <f t="shared" si="13"/>
        <v>464000</v>
      </c>
    </row>
    <row r="228" spans="4:8" x14ac:dyDescent="0.25">
      <c r="D228">
        <f t="shared" si="14"/>
        <v>225</v>
      </c>
      <c r="E228">
        <f t="shared" si="12"/>
        <v>2.16</v>
      </c>
      <c r="H228" s="62">
        <f t="shared" si="13"/>
        <v>453000</v>
      </c>
    </row>
    <row r="229" spans="4:8" x14ac:dyDescent="0.25">
      <c r="D229">
        <f t="shared" si="14"/>
        <v>226</v>
      </c>
      <c r="E229">
        <f t="shared" ref="E229:E292" si="15">10*E133</f>
        <v>2.2100000000000004</v>
      </c>
      <c r="H229" s="62">
        <f t="shared" ref="H229:H292" si="16">H133/10</f>
        <v>442000</v>
      </c>
    </row>
    <row r="230" spans="4:8" x14ac:dyDescent="0.25">
      <c r="D230">
        <f t="shared" si="14"/>
        <v>227</v>
      </c>
      <c r="E230">
        <f t="shared" si="15"/>
        <v>2.2599999999999998</v>
      </c>
      <c r="H230" s="62">
        <f t="shared" si="16"/>
        <v>432000</v>
      </c>
    </row>
    <row r="231" spans="4:8" x14ac:dyDescent="0.25">
      <c r="D231">
        <f t="shared" si="14"/>
        <v>228</v>
      </c>
      <c r="E231">
        <f t="shared" si="15"/>
        <v>2.3199999999999998</v>
      </c>
      <c r="H231" s="62">
        <f t="shared" si="16"/>
        <v>422000</v>
      </c>
    </row>
    <row r="232" spans="4:8" x14ac:dyDescent="0.25">
      <c r="D232">
        <f t="shared" si="14"/>
        <v>229</v>
      </c>
      <c r="E232">
        <f t="shared" si="15"/>
        <v>2.37</v>
      </c>
      <c r="H232" s="62">
        <f t="shared" si="16"/>
        <v>412000</v>
      </c>
    </row>
    <row r="233" spans="4:8" x14ac:dyDescent="0.25">
      <c r="D233">
        <f t="shared" si="14"/>
        <v>230</v>
      </c>
      <c r="E233">
        <f t="shared" si="15"/>
        <v>2.4300000000000002</v>
      </c>
      <c r="H233" s="62">
        <f t="shared" si="16"/>
        <v>401999.99999999988</v>
      </c>
    </row>
    <row r="234" spans="4:8" x14ac:dyDescent="0.25">
      <c r="D234">
        <f t="shared" si="14"/>
        <v>231</v>
      </c>
      <c r="E234">
        <f t="shared" si="15"/>
        <v>2.4900000000000002</v>
      </c>
      <c r="H234" s="62">
        <f t="shared" si="16"/>
        <v>392000</v>
      </c>
    </row>
    <row r="235" spans="4:8" x14ac:dyDescent="0.25">
      <c r="D235">
        <f t="shared" si="14"/>
        <v>232</v>
      </c>
      <c r="E235">
        <f t="shared" si="15"/>
        <v>2.5499999999999998</v>
      </c>
      <c r="H235" s="62">
        <f t="shared" si="16"/>
        <v>383000</v>
      </c>
    </row>
    <row r="236" spans="4:8" x14ac:dyDescent="0.25">
      <c r="D236">
        <f t="shared" si="14"/>
        <v>233</v>
      </c>
      <c r="E236">
        <f t="shared" si="15"/>
        <v>2.6100000000000003</v>
      </c>
      <c r="H236" s="62">
        <f t="shared" si="16"/>
        <v>374000</v>
      </c>
    </row>
    <row r="237" spans="4:8" x14ac:dyDescent="0.25">
      <c r="D237">
        <f t="shared" si="14"/>
        <v>234</v>
      </c>
      <c r="E237">
        <f t="shared" si="15"/>
        <v>2.67</v>
      </c>
      <c r="H237" s="62">
        <f t="shared" si="16"/>
        <v>365000</v>
      </c>
    </row>
    <row r="238" spans="4:8" x14ac:dyDescent="0.25">
      <c r="D238">
        <f t="shared" si="14"/>
        <v>235</v>
      </c>
      <c r="E238">
        <f t="shared" si="15"/>
        <v>2.74</v>
      </c>
      <c r="H238" s="62">
        <f t="shared" si="16"/>
        <v>357000</v>
      </c>
    </row>
    <row r="239" spans="4:8" x14ac:dyDescent="0.25">
      <c r="D239">
        <f t="shared" si="14"/>
        <v>236</v>
      </c>
      <c r="E239">
        <f t="shared" si="15"/>
        <v>2.8</v>
      </c>
      <c r="H239" s="62">
        <f t="shared" si="16"/>
        <v>348000</v>
      </c>
    </row>
    <row r="240" spans="4:8" x14ac:dyDescent="0.25">
      <c r="D240">
        <f t="shared" si="14"/>
        <v>237</v>
      </c>
      <c r="E240">
        <f t="shared" si="15"/>
        <v>2.87</v>
      </c>
      <c r="H240" s="62">
        <f t="shared" si="16"/>
        <v>340000</v>
      </c>
    </row>
    <row r="241" spans="4:8" x14ac:dyDescent="0.25">
      <c r="D241">
        <f t="shared" si="14"/>
        <v>238</v>
      </c>
      <c r="E241">
        <f t="shared" si="15"/>
        <v>2.94</v>
      </c>
      <c r="H241" s="62">
        <f t="shared" si="16"/>
        <v>332000</v>
      </c>
    </row>
    <row r="242" spans="4:8" x14ac:dyDescent="0.25">
      <c r="D242">
        <f t="shared" si="14"/>
        <v>239</v>
      </c>
      <c r="E242">
        <f t="shared" si="15"/>
        <v>3.01</v>
      </c>
      <c r="H242" s="62">
        <f t="shared" si="16"/>
        <v>324000.00000000006</v>
      </c>
    </row>
    <row r="243" spans="4:8" x14ac:dyDescent="0.25">
      <c r="D243">
        <f t="shared" si="14"/>
        <v>240</v>
      </c>
      <c r="E243">
        <f t="shared" si="15"/>
        <v>3.09</v>
      </c>
      <c r="H243" s="62">
        <f t="shared" si="16"/>
        <v>316000</v>
      </c>
    </row>
    <row r="244" spans="4:8" x14ac:dyDescent="0.25">
      <c r="D244">
        <f t="shared" si="14"/>
        <v>241</v>
      </c>
      <c r="E244">
        <f t="shared" si="15"/>
        <v>3.1600000000000006</v>
      </c>
      <c r="H244" s="62">
        <f t="shared" si="16"/>
        <v>309000</v>
      </c>
    </row>
    <row r="245" spans="4:8" x14ac:dyDescent="0.25">
      <c r="D245">
        <f t="shared" si="14"/>
        <v>242</v>
      </c>
      <c r="E245">
        <f t="shared" si="15"/>
        <v>3.2400000000000007</v>
      </c>
      <c r="H245" s="62">
        <f t="shared" si="16"/>
        <v>300999.99999999994</v>
      </c>
    </row>
    <row r="246" spans="4:8" x14ac:dyDescent="0.25">
      <c r="D246">
        <f t="shared" si="14"/>
        <v>243</v>
      </c>
      <c r="E246">
        <f t="shared" si="15"/>
        <v>3.3200000000000003</v>
      </c>
      <c r="H246" s="62">
        <f t="shared" si="16"/>
        <v>294000</v>
      </c>
    </row>
    <row r="247" spans="4:8" x14ac:dyDescent="0.25">
      <c r="D247">
        <f t="shared" si="14"/>
        <v>244</v>
      </c>
      <c r="E247">
        <f t="shared" si="15"/>
        <v>3.4000000000000004</v>
      </c>
      <c r="H247" s="62">
        <f t="shared" si="16"/>
        <v>287000</v>
      </c>
    </row>
    <row r="248" spans="4:8" x14ac:dyDescent="0.25">
      <c r="D248">
        <f t="shared" si="14"/>
        <v>245</v>
      </c>
      <c r="E248">
        <f t="shared" si="15"/>
        <v>3.4799999999999995</v>
      </c>
      <c r="H248" s="62">
        <f t="shared" si="16"/>
        <v>280000</v>
      </c>
    </row>
    <row r="249" spans="4:8" x14ac:dyDescent="0.25">
      <c r="D249">
        <f t="shared" si="14"/>
        <v>246</v>
      </c>
      <c r="E249">
        <f t="shared" si="15"/>
        <v>3.5700000000000003</v>
      </c>
      <c r="H249" s="62">
        <f t="shared" si="16"/>
        <v>274000.00000000006</v>
      </c>
    </row>
    <row r="250" spans="4:8" x14ac:dyDescent="0.25">
      <c r="D250">
        <f t="shared" si="14"/>
        <v>247</v>
      </c>
      <c r="E250">
        <f t="shared" si="15"/>
        <v>3.65</v>
      </c>
      <c r="H250" s="62">
        <f t="shared" si="16"/>
        <v>267000</v>
      </c>
    </row>
    <row r="251" spans="4:8" x14ac:dyDescent="0.25">
      <c r="D251">
        <f t="shared" si="14"/>
        <v>248</v>
      </c>
      <c r="E251">
        <f t="shared" si="15"/>
        <v>3.74</v>
      </c>
      <c r="H251" s="62">
        <f t="shared" si="16"/>
        <v>261000</v>
      </c>
    </row>
    <row r="252" spans="4:8" x14ac:dyDescent="0.25">
      <c r="D252">
        <f t="shared" si="14"/>
        <v>249</v>
      </c>
      <c r="E252">
        <f t="shared" si="15"/>
        <v>3.83</v>
      </c>
      <c r="H252" s="62">
        <f t="shared" si="16"/>
        <v>255000</v>
      </c>
    </row>
    <row r="253" spans="4:8" x14ac:dyDescent="0.25">
      <c r="D253">
        <f t="shared" si="14"/>
        <v>250</v>
      </c>
      <c r="E253">
        <f t="shared" si="15"/>
        <v>3.92</v>
      </c>
      <c r="H253" s="62">
        <f t="shared" si="16"/>
        <v>249000.00000000006</v>
      </c>
    </row>
    <row r="254" spans="4:8" x14ac:dyDescent="0.25">
      <c r="D254">
        <f t="shared" si="14"/>
        <v>251</v>
      </c>
      <c r="E254">
        <f t="shared" si="15"/>
        <v>4.0200000000000005</v>
      </c>
      <c r="H254" s="62">
        <f t="shared" si="16"/>
        <v>243000</v>
      </c>
    </row>
    <row r="255" spans="4:8" x14ac:dyDescent="0.25">
      <c r="D255">
        <f t="shared" si="14"/>
        <v>252</v>
      </c>
      <c r="E255">
        <f t="shared" si="15"/>
        <v>4.12</v>
      </c>
      <c r="H255" s="62">
        <f t="shared" si="16"/>
        <v>237000</v>
      </c>
    </row>
    <row r="256" spans="4:8" x14ac:dyDescent="0.25">
      <c r="D256">
        <f t="shared" si="14"/>
        <v>253</v>
      </c>
      <c r="E256">
        <f t="shared" si="15"/>
        <v>4.2200000000000006</v>
      </c>
      <c r="H256" s="62">
        <f t="shared" si="16"/>
        <v>232000</v>
      </c>
    </row>
    <row r="257" spans="4:8" x14ac:dyDescent="0.25">
      <c r="D257">
        <f t="shared" si="14"/>
        <v>254</v>
      </c>
      <c r="E257">
        <f t="shared" si="15"/>
        <v>4.32</v>
      </c>
      <c r="H257" s="62">
        <f t="shared" si="16"/>
        <v>225999.99999999994</v>
      </c>
    </row>
    <row r="258" spans="4:8" x14ac:dyDescent="0.25">
      <c r="D258">
        <f t="shared" si="14"/>
        <v>255</v>
      </c>
      <c r="E258">
        <f t="shared" si="15"/>
        <v>4.4200000000000008</v>
      </c>
      <c r="H258" s="62">
        <f t="shared" si="16"/>
        <v>221000</v>
      </c>
    </row>
    <row r="259" spans="4:8" x14ac:dyDescent="0.25">
      <c r="D259">
        <f t="shared" si="14"/>
        <v>256</v>
      </c>
      <c r="E259">
        <f t="shared" si="15"/>
        <v>4.53</v>
      </c>
      <c r="H259" s="62">
        <f t="shared" si="16"/>
        <v>216000</v>
      </c>
    </row>
    <row r="260" spans="4:8" x14ac:dyDescent="0.25">
      <c r="D260">
        <f t="shared" si="14"/>
        <v>257</v>
      </c>
      <c r="E260">
        <f t="shared" si="15"/>
        <v>4.6399999999999997</v>
      </c>
      <c r="H260" s="62">
        <f t="shared" si="16"/>
        <v>210000</v>
      </c>
    </row>
    <row r="261" spans="4:8" x14ac:dyDescent="0.25">
      <c r="D261">
        <f t="shared" si="14"/>
        <v>258</v>
      </c>
      <c r="E261">
        <f t="shared" si="15"/>
        <v>4.75</v>
      </c>
      <c r="H261" s="62">
        <f t="shared" si="16"/>
        <v>205000</v>
      </c>
    </row>
    <row r="262" spans="4:8" x14ac:dyDescent="0.25">
      <c r="D262">
        <f t="shared" ref="D262:D325" si="17">1+D261</f>
        <v>259</v>
      </c>
      <c r="E262">
        <f t="shared" si="15"/>
        <v>4.87</v>
      </c>
      <c r="H262" s="62">
        <f t="shared" si="16"/>
        <v>200000</v>
      </c>
    </row>
    <row r="263" spans="4:8" x14ac:dyDescent="0.25">
      <c r="D263">
        <f t="shared" si="17"/>
        <v>260</v>
      </c>
      <c r="E263">
        <f t="shared" si="15"/>
        <v>4.99</v>
      </c>
      <c r="H263" s="62">
        <f t="shared" si="16"/>
        <v>196000</v>
      </c>
    </row>
    <row r="264" spans="4:8" x14ac:dyDescent="0.25">
      <c r="D264">
        <f t="shared" si="17"/>
        <v>261</v>
      </c>
      <c r="E264">
        <f t="shared" si="15"/>
        <v>5.1100000000000012</v>
      </c>
      <c r="H264" s="62">
        <f t="shared" si="16"/>
        <v>191000</v>
      </c>
    </row>
    <row r="265" spans="4:8" x14ac:dyDescent="0.25">
      <c r="D265">
        <f t="shared" si="17"/>
        <v>262</v>
      </c>
      <c r="E265">
        <f t="shared" si="15"/>
        <v>5.23</v>
      </c>
      <c r="H265" s="62">
        <f t="shared" si="16"/>
        <v>187000</v>
      </c>
    </row>
    <row r="266" spans="4:8" x14ac:dyDescent="0.25">
      <c r="D266">
        <f t="shared" si="17"/>
        <v>263</v>
      </c>
      <c r="E266">
        <f t="shared" si="15"/>
        <v>5.36</v>
      </c>
      <c r="H266" s="62">
        <f t="shared" si="16"/>
        <v>182000</v>
      </c>
    </row>
    <row r="267" spans="4:8" x14ac:dyDescent="0.25">
      <c r="D267">
        <f t="shared" si="17"/>
        <v>264</v>
      </c>
      <c r="E267">
        <f t="shared" si="15"/>
        <v>5.49</v>
      </c>
      <c r="H267" s="62">
        <f t="shared" si="16"/>
        <v>178000</v>
      </c>
    </row>
    <row r="268" spans="4:8" x14ac:dyDescent="0.25">
      <c r="D268">
        <f t="shared" si="17"/>
        <v>265</v>
      </c>
      <c r="E268">
        <f t="shared" si="15"/>
        <v>5.620000000000001</v>
      </c>
      <c r="H268" s="62">
        <f t="shared" si="16"/>
        <v>174000</v>
      </c>
    </row>
    <row r="269" spans="4:8" x14ac:dyDescent="0.25">
      <c r="D269">
        <f t="shared" si="17"/>
        <v>266</v>
      </c>
      <c r="E269">
        <f t="shared" si="15"/>
        <v>5.76</v>
      </c>
      <c r="H269" s="62">
        <f t="shared" si="16"/>
        <v>169000</v>
      </c>
    </row>
    <row r="270" spans="4:8" x14ac:dyDescent="0.25">
      <c r="D270">
        <f t="shared" si="17"/>
        <v>267</v>
      </c>
      <c r="E270">
        <f t="shared" si="15"/>
        <v>5.9</v>
      </c>
      <c r="H270" s="62">
        <f t="shared" si="16"/>
        <v>165000</v>
      </c>
    </row>
    <row r="271" spans="4:8" x14ac:dyDescent="0.25">
      <c r="D271">
        <f t="shared" si="17"/>
        <v>268</v>
      </c>
      <c r="E271">
        <f t="shared" si="15"/>
        <v>6.04</v>
      </c>
      <c r="H271" s="62">
        <f t="shared" si="16"/>
        <v>162000.00000000003</v>
      </c>
    </row>
    <row r="272" spans="4:8" x14ac:dyDescent="0.25">
      <c r="D272">
        <f t="shared" si="17"/>
        <v>269</v>
      </c>
      <c r="E272">
        <f t="shared" si="15"/>
        <v>6.1899999999999995</v>
      </c>
      <c r="H272" s="62">
        <f t="shared" si="16"/>
        <v>158000</v>
      </c>
    </row>
    <row r="273" spans="4:8" x14ac:dyDescent="0.25">
      <c r="D273">
        <f t="shared" si="17"/>
        <v>270</v>
      </c>
      <c r="E273">
        <f t="shared" si="15"/>
        <v>6.34</v>
      </c>
      <c r="H273" s="62">
        <f t="shared" si="16"/>
        <v>154000</v>
      </c>
    </row>
    <row r="274" spans="4:8" x14ac:dyDescent="0.25">
      <c r="D274">
        <f t="shared" si="17"/>
        <v>271</v>
      </c>
      <c r="E274">
        <f t="shared" si="15"/>
        <v>6.49</v>
      </c>
      <c r="H274" s="62">
        <f t="shared" si="16"/>
        <v>150000</v>
      </c>
    </row>
    <row r="275" spans="4:8" x14ac:dyDescent="0.25">
      <c r="D275">
        <f t="shared" si="17"/>
        <v>272</v>
      </c>
      <c r="E275">
        <f t="shared" si="15"/>
        <v>6.65</v>
      </c>
      <c r="H275" s="62">
        <f t="shared" si="16"/>
        <v>147000</v>
      </c>
    </row>
    <row r="276" spans="4:8" x14ac:dyDescent="0.25">
      <c r="D276">
        <f t="shared" si="17"/>
        <v>273</v>
      </c>
      <c r="E276">
        <f t="shared" si="15"/>
        <v>6.81</v>
      </c>
      <c r="H276" s="62">
        <f t="shared" si="16"/>
        <v>143000</v>
      </c>
    </row>
    <row r="277" spans="4:8" x14ac:dyDescent="0.25">
      <c r="D277">
        <f t="shared" si="17"/>
        <v>274</v>
      </c>
      <c r="E277">
        <f t="shared" si="15"/>
        <v>6.9799999999999995</v>
      </c>
      <c r="H277" s="62">
        <f t="shared" si="16"/>
        <v>140000</v>
      </c>
    </row>
    <row r="278" spans="4:8" x14ac:dyDescent="0.25">
      <c r="D278">
        <f t="shared" si="17"/>
        <v>275</v>
      </c>
      <c r="E278">
        <f t="shared" si="15"/>
        <v>7.15</v>
      </c>
      <c r="H278" s="62">
        <f t="shared" si="16"/>
        <v>137000.00000000003</v>
      </c>
    </row>
    <row r="279" spans="4:8" x14ac:dyDescent="0.25">
      <c r="D279">
        <f t="shared" si="17"/>
        <v>276</v>
      </c>
      <c r="E279">
        <f t="shared" si="15"/>
        <v>7.32</v>
      </c>
      <c r="H279" s="62">
        <f t="shared" si="16"/>
        <v>133000</v>
      </c>
    </row>
    <row r="280" spans="4:8" x14ac:dyDescent="0.25">
      <c r="D280">
        <f t="shared" si="17"/>
        <v>277</v>
      </c>
      <c r="E280">
        <f t="shared" si="15"/>
        <v>7.5</v>
      </c>
      <c r="H280" s="62">
        <f t="shared" si="16"/>
        <v>130000</v>
      </c>
    </row>
    <row r="281" spans="4:8" x14ac:dyDescent="0.25">
      <c r="D281">
        <f t="shared" si="17"/>
        <v>278</v>
      </c>
      <c r="E281">
        <f t="shared" si="15"/>
        <v>7.6799999999999988</v>
      </c>
      <c r="H281" s="62">
        <f t="shared" si="16"/>
        <v>127000</v>
      </c>
    </row>
    <row r="282" spans="4:8" x14ac:dyDescent="0.25">
      <c r="D282">
        <f t="shared" si="17"/>
        <v>279</v>
      </c>
      <c r="E282">
        <f t="shared" si="15"/>
        <v>7.87</v>
      </c>
      <c r="H282" s="62">
        <f t="shared" si="16"/>
        <v>124000</v>
      </c>
    </row>
    <row r="283" spans="4:8" x14ac:dyDescent="0.25">
      <c r="D283">
        <f t="shared" si="17"/>
        <v>280</v>
      </c>
      <c r="E283">
        <f t="shared" si="15"/>
        <v>8.06</v>
      </c>
      <c r="H283" s="62">
        <f t="shared" si="16"/>
        <v>121000</v>
      </c>
    </row>
    <row r="284" spans="4:8" x14ac:dyDescent="0.25">
      <c r="D284">
        <f t="shared" si="17"/>
        <v>281</v>
      </c>
      <c r="E284">
        <f t="shared" si="15"/>
        <v>8.25</v>
      </c>
      <c r="H284" s="62">
        <f t="shared" si="16"/>
        <v>118000</v>
      </c>
    </row>
    <row r="285" spans="4:8" x14ac:dyDescent="0.25">
      <c r="D285">
        <f t="shared" si="17"/>
        <v>282</v>
      </c>
      <c r="E285">
        <f t="shared" si="15"/>
        <v>8.4499999999999993</v>
      </c>
      <c r="H285" s="62">
        <f t="shared" si="16"/>
        <v>115000</v>
      </c>
    </row>
    <row r="286" spans="4:8" x14ac:dyDescent="0.25">
      <c r="D286">
        <f t="shared" si="17"/>
        <v>283</v>
      </c>
      <c r="E286">
        <f t="shared" si="15"/>
        <v>8.66</v>
      </c>
      <c r="H286" s="62">
        <f t="shared" si="16"/>
        <v>112999.99999999997</v>
      </c>
    </row>
    <row r="287" spans="4:8" x14ac:dyDescent="0.25">
      <c r="D287">
        <f t="shared" si="17"/>
        <v>284</v>
      </c>
      <c r="E287">
        <f t="shared" si="15"/>
        <v>8.8699999999999992</v>
      </c>
      <c r="H287" s="62">
        <f t="shared" si="16"/>
        <v>110000</v>
      </c>
    </row>
    <row r="288" spans="4:8" x14ac:dyDescent="0.25">
      <c r="D288">
        <f t="shared" si="17"/>
        <v>285</v>
      </c>
      <c r="E288">
        <f t="shared" si="15"/>
        <v>9.09</v>
      </c>
      <c r="H288" s="62">
        <f t="shared" si="16"/>
        <v>107000</v>
      </c>
    </row>
    <row r="289" spans="4:8" x14ac:dyDescent="0.25">
      <c r="D289">
        <f t="shared" si="17"/>
        <v>286</v>
      </c>
      <c r="E289">
        <f t="shared" si="15"/>
        <v>9.31</v>
      </c>
      <c r="H289" s="62">
        <f t="shared" si="16"/>
        <v>105000</v>
      </c>
    </row>
    <row r="290" spans="4:8" x14ac:dyDescent="0.25">
      <c r="D290">
        <f t="shared" si="17"/>
        <v>287</v>
      </c>
      <c r="E290">
        <f t="shared" si="15"/>
        <v>9.5299999999999994</v>
      </c>
      <c r="H290" s="62">
        <f t="shared" si="16"/>
        <v>102000</v>
      </c>
    </row>
    <row r="291" spans="4:8" x14ac:dyDescent="0.25">
      <c r="D291">
        <f t="shared" si="17"/>
        <v>288</v>
      </c>
      <c r="E291">
        <f t="shared" si="15"/>
        <v>9.7600000000000016</v>
      </c>
      <c r="H291" s="62">
        <f t="shared" si="16"/>
        <v>100000</v>
      </c>
    </row>
    <row r="292" spans="4:8" x14ac:dyDescent="0.25">
      <c r="D292">
        <f t="shared" si="17"/>
        <v>289</v>
      </c>
      <c r="E292">
        <f t="shared" si="15"/>
        <v>10</v>
      </c>
      <c r="H292" s="62">
        <f t="shared" si="16"/>
        <v>97600</v>
      </c>
    </row>
    <row r="293" spans="4:8" x14ac:dyDescent="0.25">
      <c r="D293">
        <f t="shared" si="17"/>
        <v>290</v>
      </c>
      <c r="E293">
        <f t="shared" ref="E293:E356" si="18">10*E197</f>
        <v>10.199999999999999</v>
      </c>
      <c r="H293" s="62">
        <f t="shared" ref="H293:H356" si="19">H197/10</f>
        <v>95300</v>
      </c>
    </row>
    <row r="294" spans="4:8" x14ac:dyDescent="0.25">
      <c r="D294">
        <f t="shared" si="17"/>
        <v>291</v>
      </c>
      <c r="E294">
        <f t="shared" si="18"/>
        <v>10.5</v>
      </c>
      <c r="H294" s="62">
        <f t="shared" si="19"/>
        <v>93100</v>
      </c>
    </row>
    <row r="295" spans="4:8" x14ac:dyDescent="0.25">
      <c r="D295">
        <f t="shared" si="17"/>
        <v>292</v>
      </c>
      <c r="E295">
        <f t="shared" si="18"/>
        <v>10.700000000000001</v>
      </c>
      <c r="H295" s="62">
        <f t="shared" si="19"/>
        <v>90900</v>
      </c>
    </row>
    <row r="296" spans="4:8" x14ac:dyDescent="0.25">
      <c r="D296">
        <f t="shared" si="17"/>
        <v>293</v>
      </c>
      <c r="E296">
        <f t="shared" si="18"/>
        <v>11</v>
      </c>
      <c r="H296" s="62">
        <f t="shared" si="19"/>
        <v>88699.999999999971</v>
      </c>
    </row>
    <row r="297" spans="4:8" x14ac:dyDescent="0.25">
      <c r="D297">
        <f t="shared" si="17"/>
        <v>294</v>
      </c>
      <c r="E297">
        <f t="shared" si="18"/>
        <v>11.299999999999999</v>
      </c>
      <c r="H297" s="62">
        <f t="shared" si="19"/>
        <v>86600</v>
      </c>
    </row>
    <row r="298" spans="4:8" x14ac:dyDescent="0.25">
      <c r="D298">
        <f t="shared" si="17"/>
        <v>295</v>
      </c>
      <c r="E298">
        <f t="shared" si="18"/>
        <v>11.5</v>
      </c>
      <c r="H298" s="62">
        <f t="shared" si="19"/>
        <v>84500</v>
      </c>
    </row>
    <row r="299" spans="4:8" x14ac:dyDescent="0.25">
      <c r="D299">
        <f t="shared" si="17"/>
        <v>296</v>
      </c>
      <c r="E299">
        <f t="shared" si="18"/>
        <v>11.799999999999999</v>
      </c>
      <c r="H299" s="62">
        <f t="shared" si="19"/>
        <v>82500</v>
      </c>
    </row>
    <row r="300" spans="4:8" x14ac:dyDescent="0.25">
      <c r="D300">
        <f t="shared" si="17"/>
        <v>297</v>
      </c>
      <c r="E300">
        <f t="shared" si="18"/>
        <v>12.1</v>
      </c>
      <c r="H300" s="62">
        <f t="shared" si="19"/>
        <v>80600</v>
      </c>
    </row>
    <row r="301" spans="4:8" x14ac:dyDescent="0.25">
      <c r="D301">
        <f t="shared" si="17"/>
        <v>298</v>
      </c>
      <c r="E301">
        <f t="shared" si="18"/>
        <v>12.4</v>
      </c>
      <c r="H301" s="62">
        <f t="shared" si="19"/>
        <v>78700</v>
      </c>
    </row>
    <row r="302" spans="4:8" x14ac:dyDescent="0.25">
      <c r="D302">
        <f t="shared" si="17"/>
        <v>299</v>
      </c>
      <c r="E302">
        <f t="shared" si="18"/>
        <v>12.7</v>
      </c>
      <c r="H302" s="62">
        <f t="shared" si="19"/>
        <v>76800</v>
      </c>
    </row>
    <row r="303" spans="4:8" x14ac:dyDescent="0.25">
      <c r="D303">
        <f t="shared" si="17"/>
        <v>300</v>
      </c>
      <c r="E303">
        <f t="shared" si="18"/>
        <v>13</v>
      </c>
      <c r="H303" s="62">
        <f t="shared" si="19"/>
        <v>75000</v>
      </c>
    </row>
    <row r="304" spans="4:8" x14ac:dyDescent="0.25">
      <c r="D304">
        <f t="shared" si="17"/>
        <v>301</v>
      </c>
      <c r="E304">
        <f t="shared" si="18"/>
        <v>13.3</v>
      </c>
      <c r="H304" s="62">
        <f t="shared" si="19"/>
        <v>73200</v>
      </c>
    </row>
    <row r="305" spans="4:8" x14ac:dyDescent="0.25">
      <c r="D305">
        <f t="shared" si="17"/>
        <v>302</v>
      </c>
      <c r="E305">
        <f t="shared" si="18"/>
        <v>13.700000000000001</v>
      </c>
      <c r="H305" s="62">
        <f t="shared" si="19"/>
        <v>71500</v>
      </c>
    </row>
    <row r="306" spans="4:8" x14ac:dyDescent="0.25">
      <c r="D306">
        <f t="shared" si="17"/>
        <v>303</v>
      </c>
      <c r="E306">
        <f t="shared" si="18"/>
        <v>14</v>
      </c>
      <c r="H306" s="62">
        <f t="shared" si="19"/>
        <v>69800</v>
      </c>
    </row>
    <row r="307" spans="4:8" x14ac:dyDescent="0.25">
      <c r="D307">
        <f t="shared" si="17"/>
        <v>304</v>
      </c>
      <c r="E307">
        <f t="shared" si="18"/>
        <v>14.3</v>
      </c>
      <c r="H307" s="62">
        <f t="shared" si="19"/>
        <v>68100</v>
      </c>
    </row>
    <row r="308" spans="4:8" x14ac:dyDescent="0.25">
      <c r="D308">
        <f t="shared" si="17"/>
        <v>305</v>
      </c>
      <c r="E308">
        <f t="shared" si="18"/>
        <v>14.7</v>
      </c>
      <c r="H308" s="62">
        <f t="shared" si="19"/>
        <v>66500</v>
      </c>
    </row>
    <row r="309" spans="4:8" x14ac:dyDescent="0.25">
      <c r="D309">
        <f t="shared" si="17"/>
        <v>306</v>
      </c>
      <c r="E309">
        <f t="shared" si="18"/>
        <v>15</v>
      </c>
      <c r="H309" s="62">
        <f t="shared" si="19"/>
        <v>64900</v>
      </c>
    </row>
    <row r="310" spans="4:8" x14ac:dyDescent="0.25">
      <c r="D310">
        <f t="shared" si="17"/>
        <v>307</v>
      </c>
      <c r="E310">
        <f t="shared" si="18"/>
        <v>15.4</v>
      </c>
      <c r="H310" s="62">
        <f t="shared" si="19"/>
        <v>63400</v>
      </c>
    </row>
    <row r="311" spans="4:8" x14ac:dyDescent="0.25">
      <c r="D311">
        <f t="shared" si="17"/>
        <v>308</v>
      </c>
      <c r="E311">
        <f t="shared" si="18"/>
        <v>15.800000000000002</v>
      </c>
      <c r="H311" s="62">
        <f t="shared" si="19"/>
        <v>61900.000000000015</v>
      </c>
    </row>
    <row r="312" spans="4:8" x14ac:dyDescent="0.25">
      <c r="D312">
        <f t="shared" si="17"/>
        <v>309</v>
      </c>
      <c r="E312">
        <f t="shared" si="18"/>
        <v>16.200000000000003</v>
      </c>
      <c r="H312" s="62">
        <f t="shared" si="19"/>
        <v>60400</v>
      </c>
    </row>
    <row r="313" spans="4:8" x14ac:dyDescent="0.25">
      <c r="D313">
        <f t="shared" si="17"/>
        <v>310</v>
      </c>
      <c r="E313">
        <f t="shared" si="18"/>
        <v>16.5</v>
      </c>
      <c r="H313" s="62">
        <f t="shared" si="19"/>
        <v>59000</v>
      </c>
    </row>
    <row r="314" spans="4:8" x14ac:dyDescent="0.25">
      <c r="D314">
        <f t="shared" si="17"/>
        <v>311</v>
      </c>
      <c r="E314">
        <f t="shared" si="18"/>
        <v>16.899999999999999</v>
      </c>
      <c r="H314" s="62">
        <f t="shared" si="19"/>
        <v>57600</v>
      </c>
    </row>
    <row r="315" spans="4:8" x14ac:dyDescent="0.25">
      <c r="D315">
        <f t="shared" si="17"/>
        <v>312</v>
      </c>
      <c r="E315">
        <f t="shared" si="18"/>
        <v>17.399999999999999</v>
      </c>
      <c r="H315" s="62">
        <f t="shared" si="19"/>
        <v>56200</v>
      </c>
    </row>
    <row r="316" spans="4:8" x14ac:dyDescent="0.25">
      <c r="D316">
        <f t="shared" si="17"/>
        <v>313</v>
      </c>
      <c r="E316">
        <f t="shared" si="18"/>
        <v>17.799999999999997</v>
      </c>
      <c r="H316" s="62">
        <f t="shared" si="19"/>
        <v>54900</v>
      </c>
    </row>
    <row r="317" spans="4:8" x14ac:dyDescent="0.25">
      <c r="D317">
        <f t="shared" si="17"/>
        <v>314</v>
      </c>
      <c r="E317">
        <f t="shared" si="18"/>
        <v>18.2</v>
      </c>
      <c r="H317" s="62">
        <f t="shared" si="19"/>
        <v>53600</v>
      </c>
    </row>
    <row r="318" spans="4:8" x14ac:dyDescent="0.25">
      <c r="D318">
        <f t="shared" si="17"/>
        <v>315</v>
      </c>
      <c r="E318">
        <f t="shared" si="18"/>
        <v>18.700000000000003</v>
      </c>
      <c r="H318" s="62">
        <f t="shared" si="19"/>
        <v>52300.000000000015</v>
      </c>
    </row>
    <row r="319" spans="4:8" x14ac:dyDescent="0.25">
      <c r="D319">
        <f t="shared" si="17"/>
        <v>316</v>
      </c>
      <c r="E319">
        <f t="shared" si="18"/>
        <v>19.100000000000001</v>
      </c>
      <c r="H319" s="62">
        <f t="shared" si="19"/>
        <v>51100</v>
      </c>
    </row>
    <row r="320" spans="4:8" x14ac:dyDescent="0.25">
      <c r="D320">
        <f t="shared" si="17"/>
        <v>317</v>
      </c>
      <c r="E320">
        <f t="shared" si="18"/>
        <v>19.600000000000001</v>
      </c>
      <c r="H320" s="62">
        <f t="shared" si="19"/>
        <v>49900</v>
      </c>
    </row>
    <row r="321" spans="4:8" x14ac:dyDescent="0.25">
      <c r="D321">
        <f t="shared" si="17"/>
        <v>318</v>
      </c>
      <c r="E321">
        <f t="shared" si="18"/>
        <v>20</v>
      </c>
      <c r="H321" s="62">
        <f t="shared" si="19"/>
        <v>48700</v>
      </c>
    </row>
    <row r="322" spans="4:8" x14ac:dyDescent="0.25">
      <c r="D322">
        <f t="shared" si="17"/>
        <v>319</v>
      </c>
      <c r="E322">
        <f t="shared" si="18"/>
        <v>20.5</v>
      </c>
      <c r="H322" s="62">
        <f t="shared" si="19"/>
        <v>47500</v>
      </c>
    </row>
    <row r="323" spans="4:8" x14ac:dyDescent="0.25">
      <c r="D323">
        <f t="shared" si="17"/>
        <v>320</v>
      </c>
      <c r="E323">
        <f t="shared" si="18"/>
        <v>21</v>
      </c>
      <c r="H323" s="62">
        <f t="shared" si="19"/>
        <v>46400</v>
      </c>
    </row>
    <row r="324" spans="4:8" x14ac:dyDescent="0.25">
      <c r="D324">
        <f t="shared" si="17"/>
        <v>321</v>
      </c>
      <c r="E324">
        <f t="shared" si="18"/>
        <v>21.6</v>
      </c>
      <c r="H324" s="62">
        <f t="shared" si="19"/>
        <v>45300</v>
      </c>
    </row>
    <row r="325" spans="4:8" x14ac:dyDescent="0.25">
      <c r="D325">
        <f t="shared" si="17"/>
        <v>322</v>
      </c>
      <c r="E325">
        <f t="shared" si="18"/>
        <v>22.100000000000005</v>
      </c>
      <c r="H325" s="62">
        <f t="shared" si="19"/>
        <v>44200</v>
      </c>
    </row>
    <row r="326" spans="4:8" x14ac:dyDescent="0.25">
      <c r="D326">
        <f t="shared" ref="D326:D389" si="20">1+D325</f>
        <v>323</v>
      </c>
      <c r="E326">
        <f t="shared" si="18"/>
        <v>22.599999999999998</v>
      </c>
      <c r="H326" s="62">
        <f t="shared" si="19"/>
        <v>43200</v>
      </c>
    </row>
    <row r="327" spans="4:8" x14ac:dyDescent="0.25">
      <c r="D327">
        <f t="shared" si="20"/>
        <v>324</v>
      </c>
      <c r="E327">
        <f t="shared" si="18"/>
        <v>23.2</v>
      </c>
      <c r="H327" s="62">
        <f t="shared" si="19"/>
        <v>42200</v>
      </c>
    </row>
    <row r="328" spans="4:8" x14ac:dyDescent="0.25">
      <c r="D328">
        <f t="shared" si="20"/>
        <v>325</v>
      </c>
      <c r="E328">
        <f t="shared" si="18"/>
        <v>23.700000000000003</v>
      </c>
      <c r="H328" s="62">
        <f t="shared" si="19"/>
        <v>41200</v>
      </c>
    </row>
    <row r="329" spans="4:8" x14ac:dyDescent="0.25">
      <c r="D329">
        <f t="shared" si="20"/>
        <v>326</v>
      </c>
      <c r="E329">
        <f t="shared" si="18"/>
        <v>24.3</v>
      </c>
      <c r="H329" s="62">
        <f t="shared" si="19"/>
        <v>40199.999999999985</v>
      </c>
    </row>
    <row r="330" spans="4:8" x14ac:dyDescent="0.25">
      <c r="D330">
        <f t="shared" si="20"/>
        <v>327</v>
      </c>
      <c r="E330">
        <f t="shared" si="18"/>
        <v>24.900000000000002</v>
      </c>
      <c r="H330" s="62">
        <f t="shared" si="19"/>
        <v>39200</v>
      </c>
    </row>
    <row r="331" spans="4:8" x14ac:dyDescent="0.25">
      <c r="D331">
        <f t="shared" si="20"/>
        <v>328</v>
      </c>
      <c r="E331">
        <f t="shared" si="18"/>
        <v>25.5</v>
      </c>
      <c r="H331" s="62">
        <f t="shared" si="19"/>
        <v>38300</v>
      </c>
    </row>
    <row r="332" spans="4:8" x14ac:dyDescent="0.25">
      <c r="D332">
        <f t="shared" si="20"/>
        <v>329</v>
      </c>
      <c r="E332">
        <f t="shared" si="18"/>
        <v>26.1</v>
      </c>
      <c r="H332" s="62">
        <f t="shared" si="19"/>
        <v>37400</v>
      </c>
    </row>
    <row r="333" spans="4:8" x14ac:dyDescent="0.25">
      <c r="D333">
        <f t="shared" si="20"/>
        <v>330</v>
      </c>
      <c r="E333">
        <f t="shared" si="18"/>
        <v>26.7</v>
      </c>
      <c r="H333" s="62">
        <f t="shared" si="19"/>
        <v>36500</v>
      </c>
    </row>
    <row r="334" spans="4:8" x14ac:dyDescent="0.25">
      <c r="D334">
        <f t="shared" si="20"/>
        <v>331</v>
      </c>
      <c r="E334">
        <f t="shared" si="18"/>
        <v>27.400000000000002</v>
      </c>
      <c r="H334" s="62">
        <f t="shared" si="19"/>
        <v>35700</v>
      </c>
    </row>
    <row r="335" spans="4:8" x14ac:dyDescent="0.25">
      <c r="D335">
        <f t="shared" si="20"/>
        <v>332</v>
      </c>
      <c r="E335">
        <f t="shared" si="18"/>
        <v>28</v>
      </c>
      <c r="H335" s="62">
        <f t="shared" si="19"/>
        <v>34800</v>
      </c>
    </row>
    <row r="336" spans="4:8" x14ac:dyDescent="0.25">
      <c r="D336">
        <f t="shared" si="20"/>
        <v>333</v>
      </c>
      <c r="E336">
        <f t="shared" si="18"/>
        <v>28.700000000000003</v>
      </c>
      <c r="H336" s="62">
        <f t="shared" si="19"/>
        <v>34000</v>
      </c>
    </row>
    <row r="337" spans="4:8" x14ac:dyDescent="0.25">
      <c r="D337">
        <f t="shared" si="20"/>
        <v>334</v>
      </c>
      <c r="E337">
        <f t="shared" si="18"/>
        <v>29.4</v>
      </c>
      <c r="H337" s="62">
        <f t="shared" si="19"/>
        <v>33200</v>
      </c>
    </row>
    <row r="338" spans="4:8" x14ac:dyDescent="0.25">
      <c r="D338">
        <f t="shared" si="20"/>
        <v>335</v>
      </c>
      <c r="E338">
        <f t="shared" si="18"/>
        <v>30.099999999999998</v>
      </c>
      <c r="H338" s="62">
        <f t="shared" si="19"/>
        <v>32400.000000000007</v>
      </c>
    </row>
    <row r="339" spans="4:8" x14ac:dyDescent="0.25">
      <c r="D339">
        <f t="shared" si="20"/>
        <v>336</v>
      </c>
      <c r="E339">
        <f t="shared" si="18"/>
        <v>30.9</v>
      </c>
      <c r="H339" s="62">
        <f t="shared" si="19"/>
        <v>31600</v>
      </c>
    </row>
    <row r="340" spans="4:8" x14ac:dyDescent="0.25">
      <c r="D340">
        <f t="shared" si="20"/>
        <v>337</v>
      </c>
      <c r="E340">
        <f t="shared" si="18"/>
        <v>31.600000000000005</v>
      </c>
      <c r="H340" s="62">
        <f t="shared" si="19"/>
        <v>30900</v>
      </c>
    </row>
    <row r="341" spans="4:8" x14ac:dyDescent="0.25">
      <c r="D341">
        <f t="shared" si="20"/>
        <v>338</v>
      </c>
      <c r="E341">
        <f t="shared" si="18"/>
        <v>32.400000000000006</v>
      </c>
      <c r="H341" s="62">
        <f t="shared" si="19"/>
        <v>30099.999999999993</v>
      </c>
    </row>
    <row r="342" spans="4:8" x14ac:dyDescent="0.25">
      <c r="D342">
        <f t="shared" si="20"/>
        <v>339</v>
      </c>
      <c r="E342">
        <f t="shared" si="18"/>
        <v>33.200000000000003</v>
      </c>
      <c r="H342" s="62">
        <f t="shared" si="19"/>
        <v>29400</v>
      </c>
    </row>
    <row r="343" spans="4:8" x14ac:dyDescent="0.25">
      <c r="D343">
        <f t="shared" si="20"/>
        <v>340</v>
      </c>
      <c r="E343">
        <f t="shared" si="18"/>
        <v>34</v>
      </c>
      <c r="H343" s="62">
        <f t="shared" si="19"/>
        <v>28700</v>
      </c>
    </row>
    <row r="344" spans="4:8" x14ac:dyDescent="0.25">
      <c r="D344">
        <f t="shared" si="20"/>
        <v>341</v>
      </c>
      <c r="E344">
        <f t="shared" si="18"/>
        <v>34.799999999999997</v>
      </c>
      <c r="H344" s="62">
        <f t="shared" si="19"/>
        <v>28000</v>
      </c>
    </row>
    <row r="345" spans="4:8" x14ac:dyDescent="0.25">
      <c r="D345">
        <f t="shared" si="20"/>
        <v>342</v>
      </c>
      <c r="E345">
        <f t="shared" si="18"/>
        <v>35.700000000000003</v>
      </c>
      <c r="H345" s="62">
        <f t="shared" si="19"/>
        <v>27400.000000000007</v>
      </c>
    </row>
    <row r="346" spans="4:8" x14ac:dyDescent="0.25">
      <c r="D346">
        <f t="shared" si="20"/>
        <v>343</v>
      </c>
      <c r="E346">
        <f t="shared" si="18"/>
        <v>36.5</v>
      </c>
      <c r="H346" s="62">
        <f t="shared" si="19"/>
        <v>26700</v>
      </c>
    </row>
    <row r="347" spans="4:8" x14ac:dyDescent="0.25">
      <c r="D347">
        <f t="shared" si="20"/>
        <v>344</v>
      </c>
      <c r="E347">
        <f t="shared" si="18"/>
        <v>37.400000000000006</v>
      </c>
      <c r="H347" s="62">
        <f t="shared" si="19"/>
        <v>26100</v>
      </c>
    </row>
    <row r="348" spans="4:8" x14ac:dyDescent="0.25">
      <c r="D348">
        <f t="shared" si="20"/>
        <v>345</v>
      </c>
      <c r="E348">
        <f t="shared" si="18"/>
        <v>38.299999999999997</v>
      </c>
      <c r="H348" s="62">
        <f t="shared" si="19"/>
        <v>25500</v>
      </c>
    </row>
    <row r="349" spans="4:8" x14ac:dyDescent="0.25">
      <c r="D349">
        <f t="shared" si="20"/>
        <v>346</v>
      </c>
      <c r="E349">
        <f t="shared" si="18"/>
        <v>39.200000000000003</v>
      </c>
      <c r="H349" s="62">
        <f t="shared" si="19"/>
        <v>24900.000000000007</v>
      </c>
    </row>
    <row r="350" spans="4:8" x14ac:dyDescent="0.25">
      <c r="D350">
        <f t="shared" si="20"/>
        <v>347</v>
      </c>
      <c r="E350">
        <f t="shared" si="18"/>
        <v>40.200000000000003</v>
      </c>
      <c r="H350" s="62">
        <f t="shared" si="19"/>
        <v>24300</v>
      </c>
    </row>
    <row r="351" spans="4:8" x14ac:dyDescent="0.25">
      <c r="D351">
        <f t="shared" si="20"/>
        <v>348</v>
      </c>
      <c r="E351">
        <f t="shared" si="18"/>
        <v>41.2</v>
      </c>
      <c r="H351" s="62">
        <f t="shared" si="19"/>
        <v>23700</v>
      </c>
    </row>
    <row r="352" spans="4:8" x14ac:dyDescent="0.25">
      <c r="D352">
        <f t="shared" si="20"/>
        <v>349</v>
      </c>
      <c r="E352">
        <f t="shared" si="18"/>
        <v>42.2</v>
      </c>
      <c r="H352" s="62">
        <f t="shared" si="19"/>
        <v>23200</v>
      </c>
    </row>
    <row r="353" spans="4:8" x14ac:dyDescent="0.25">
      <c r="D353">
        <f t="shared" si="20"/>
        <v>350</v>
      </c>
      <c r="E353">
        <f t="shared" si="18"/>
        <v>43.2</v>
      </c>
      <c r="H353" s="62">
        <f t="shared" si="19"/>
        <v>22599.999999999993</v>
      </c>
    </row>
    <row r="354" spans="4:8" x14ac:dyDescent="0.25">
      <c r="D354">
        <f t="shared" si="20"/>
        <v>351</v>
      </c>
      <c r="E354">
        <f t="shared" si="18"/>
        <v>44.20000000000001</v>
      </c>
      <c r="H354" s="62">
        <f t="shared" si="19"/>
        <v>22100</v>
      </c>
    </row>
    <row r="355" spans="4:8" x14ac:dyDescent="0.25">
      <c r="D355">
        <f t="shared" si="20"/>
        <v>352</v>
      </c>
      <c r="E355">
        <f t="shared" si="18"/>
        <v>45.300000000000004</v>
      </c>
      <c r="H355" s="62">
        <f t="shared" si="19"/>
        <v>21600</v>
      </c>
    </row>
    <row r="356" spans="4:8" x14ac:dyDescent="0.25">
      <c r="D356">
        <f t="shared" si="20"/>
        <v>353</v>
      </c>
      <c r="E356">
        <f t="shared" si="18"/>
        <v>46.4</v>
      </c>
      <c r="H356" s="62">
        <f t="shared" si="19"/>
        <v>21000</v>
      </c>
    </row>
    <row r="357" spans="4:8" x14ac:dyDescent="0.25">
      <c r="D357">
        <f t="shared" si="20"/>
        <v>354</v>
      </c>
      <c r="E357">
        <f t="shared" ref="E357:E420" si="21">10*E261</f>
        <v>47.5</v>
      </c>
      <c r="H357" s="62">
        <f t="shared" ref="H357:H420" si="22">H261/10</f>
        <v>20500</v>
      </c>
    </row>
    <row r="358" spans="4:8" x14ac:dyDescent="0.25">
      <c r="D358">
        <f t="shared" si="20"/>
        <v>355</v>
      </c>
      <c r="E358">
        <f t="shared" si="21"/>
        <v>48.7</v>
      </c>
      <c r="H358" s="62">
        <f t="shared" si="22"/>
        <v>20000</v>
      </c>
    </row>
    <row r="359" spans="4:8" x14ac:dyDescent="0.25">
      <c r="D359">
        <f t="shared" si="20"/>
        <v>356</v>
      </c>
      <c r="E359">
        <f t="shared" si="21"/>
        <v>49.900000000000006</v>
      </c>
      <c r="H359" s="62">
        <f t="shared" si="22"/>
        <v>19600</v>
      </c>
    </row>
    <row r="360" spans="4:8" x14ac:dyDescent="0.25">
      <c r="D360">
        <f t="shared" si="20"/>
        <v>357</v>
      </c>
      <c r="E360">
        <f t="shared" si="21"/>
        <v>51.100000000000009</v>
      </c>
      <c r="H360" s="62">
        <f t="shared" si="22"/>
        <v>19100</v>
      </c>
    </row>
    <row r="361" spans="4:8" x14ac:dyDescent="0.25">
      <c r="D361">
        <f t="shared" si="20"/>
        <v>358</v>
      </c>
      <c r="E361">
        <f t="shared" si="21"/>
        <v>52.300000000000004</v>
      </c>
      <c r="H361" s="62">
        <f t="shared" si="22"/>
        <v>18700</v>
      </c>
    </row>
    <row r="362" spans="4:8" x14ac:dyDescent="0.25">
      <c r="D362">
        <f t="shared" si="20"/>
        <v>359</v>
      </c>
      <c r="E362">
        <f t="shared" si="21"/>
        <v>53.6</v>
      </c>
      <c r="H362" s="62">
        <f t="shared" si="22"/>
        <v>18200</v>
      </c>
    </row>
    <row r="363" spans="4:8" x14ac:dyDescent="0.25">
      <c r="D363">
        <f t="shared" si="20"/>
        <v>360</v>
      </c>
      <c r="E363">
        <f t="shared" si="21"/>
        <v>54.900000000000006</v>
      </c>
      <c r="H363" s="62">
        <f t="shared" si="22"/>
        <v>17800</v>
      </c>
    </row>
    <row r="364" spans="4:8" x14ac:dyDescent="0.25">
      <c r="D364">
        <f t="shared" si="20"/>
        <v>361</v>
      </c>
      <c r="E364">
        <f t="shared" si="21"/>
        <v>56.20000000000001</v>
      </c>
      <c r="H364" s="62">
        <f t="shared" si="22"/>
        <v>17400</v>
      </c>
    </row>
    <row r="365" spans="4:8" x14ac:dyDescent="0.25">
      <c r="D365">
        <f t="shared" si="20"/>
        <v>362</v>
      </c>
      <c r="E365">
        <f t="shared" si="21"/>
        <v>57.599999999999994</v>
      </c>
      <c r="H365" s="62">
        <f t="shared" si="22"/>
        <v>16900</v>
      </c>
    </row>
    <row r="366" spans="4:8" x14ac:dyDescent="0.25">
      <c r="D366">
        <f t="shared" si="20"/>
        <v>363</v>
      </c>
      <c r="E366">
        <f t="shared" si="21"/>
        <v>59</v>
      </c>
      <c r="H366" s="62">
        <f t="shared" si="22"/>
        <v>16500</v>
      </c>
    </row>
    <row r="367" spans="4:8" x14ac:dyDescent="0.25">
      <c r="D367">
        <f t="shared" si="20"/>
        <v>364</v>
      </c>
      <c r="E367">
        <f t="shared" si="21"/>
        <v>60.4</v>
      </c>
      <c r="H367" s="62">
        <f t="shared" si="22"/>
        <v>16200.000000000004</v>
      </c>
    </row>
    <row r="368" spans="4:8" x14ac:dyDescent="0.25">
      <c r="D368">
        <f t="shared" si="20"/>
        <v>365</v>
      </c>
      <c r="E368">
        <f t="shared" si="21"/>
        <v>61.899999999999991</v>
      </c>
      <c r="H368" s="62">
        <f t="shared" si="22"/>
        <v>15800</v>
      </c>
    </row>
    <row r="369" spans="4:8" x14ac:dyDescent="0.25">
      <c r="D369">
        <f t="shared" si="20"/>
        <v>366</v>
      </c>
      <c r="E369">
        <f t="shared" si="21"/>
        <v>63.4</v>
      </c>
      <c r="H369" s="62">
        <f t="shared" si="22"/>
        <v>15400</v>
      </c>
    </row>
    <row r="370" spans="4:8" x14ac:dyDescent="0.25">
      <c r="D370">
        <f t="shared" si="20"/>
        <v>367</v>
      </c>
      <c r="E370">
        <f t="shared" si="21"/>
        <v>64.900000000000006</v>
      </c>
      <c r="H370" s="62">
        <f t="shared" si="22"/>
        <v>15000</v>
      </c>
    </row>
    <row r="371" spans="4:8" x14ac:dyDescent="0.25">
      <c r="D371">
        <f t="shared" si="20"/>
        <v>368</v>
      </c>
      <c r="E371">
        <f t="shared" si="21"/>
        <v>66.5</v>
      </c>
      <c r="H371" s="62">
        <f t="shared" si="22"/>
        <v>14700</v>
      </c>
    </row>
    <row r="372" spans="4:8" x14ac:dyDescent="0.25">
      <c r="D372">
        <f t="shared" si="20"/>
        <v>369</v>
      </c>
      <c r="E372">
        <f t="shared" si="21"/>
        <v>68.099999999999994</v>
      </c>
      <c r="H372" s="62">
        <f t="shared" si="22"/>
        <v>14300</v>
      </c>
    </row>
    <row r="373" spans="4:8" x14ac:dyDescent="0.25">
      <c r="D373">
        <f t="shared" si="20"/>
        <v>370</v>
      </c>
      <c r="E373">
        <f t="shared" si="21"/>
        <v>69.8</v>
      </c>
      <c r="H373" s="62">
        <f t="shared" si="22"/>
        <v>14000</v>
      </c>
    </row>
    <row r="374" spans="4:8" x14ac:dyDescent="0.25">
      <c r="D374">
        <f t="shared" si="20"/>
        <v>371</v>
      </c>
      <c r="E374">
        <f t="shared" si="21"/>
        <v>71.5</v>
      </c>
      <c r="H374" s="62">
        <f t="shared" si="22"/>
        <v>13700.000000000004</v>
      </c>
    </row>
    <row r="375" spans="4:8" x14ac:dyDescent="0.25">
      <c r="D375">
        <f t="shared" si="20"/>
        <v>372</v>
      </c>
      <c r="E375">
        <f t="shared" si="21"/>
        <v>73.2</v>
      </c>
      <c r="H375" s="62">
        <f t="shared" si="22"/>
        <v>13300</v>
      </c>
    </row>
    <row r="376" spans="4:8" x14ac:dyDescent="0.25">
      <c r="D376">
        <f t="shared" si="20"/>
        <v>373</v>
      </c>
      <c r="E376">
        <f t="shared" si="21"/>
        <v>75</v>
      </c>
      <c r="H376" s="62">
        <f t="shared" si="22"/>
        <v>13000</v>
      </c>
    </row>
    <row r="377" spans="4:8" x14ac:dyDescent="0.25">
      <c r="D377">
        <f t="shared" si="20"/>
        <v>374</v>
      </c>
      <c r="E377">
        <f t="shared" si="21"/>
        <v>76.799999999999983</v>
      </c>
      <c r="H377" s="62">
        <f t="shared" si="22"/>
        <v>12700</v>
      </c>
    </row>
    <row r="378" spans="4:8" x14ac:dyDescent="0.25">
      <c r="D378">
        <f t="shared" si="20"/>
        <v>375</v>
      </c>
      <c r="E378">
        <f t="shared" si="21"/>
        <v>78.7</v>
      </c>
      <c r="H378" s="62">
        <f t="shared" si="22"/>
        <v>12400</v>
      </c>
    </row>
    <row r="379" spans="4:8" x14ac:dyDescent="0.25">
      <c r="D379">
        <f t="shared" si="20"/>
        <v>376</v>
      </c>
      <c r="E379">
        <f t="shared" si="21"/>
        <v>80.600000000000009</v>
      </c>
      <c r="H379" s="62">
        <f t="shared" si="22"/>
        <v>12100</v>
      </c>
    </row>
    <row r="380" spans="4:8" x14ac:dyDescent="0.25">
      <c r="D380">
        <f t="shared" si="20"/>
        <v>377</v>
      </c>
      <c r="E380">
        <f t="shared" si="21"/>
        <v>82.5</v>
      </c>
      <c r="H380" s="62">
        <f t="shared" si="22"/>
        <v>11800</v>
      </c>
    </row>
    <row r="381" spans="4:8" x14ac:dyDescent="0.25">
      <c r="D381">
        <f t="shared" si="20"/>
        <v>378</v>
      </c>
      <c r="E381">
        <f t="shared" si="21"/>
        <v>84.5</v>
      </c>
      <c r="H381" s="62">
        <f t="shared" si="22"/>
        <v>11500</v>
      </c>
    </row>
    <row r="382" spans="4:8" x14ac:dyDescent="0.25">
      <c r="D382">
        <f t="shared" si="20"/>
        <v>379</v>
      </c>
      <c r="E382">
        <f t="shared" si="21"/>
        <v>86.6</v>
      </c>
      <c r="H382" s="62">
        <f t="shared" si="22"/>
        <v>11299.999999999996</v>
      </c>
    </row>
    <row r="383" spans="4:8" x14ac:dyDescent="0.25">
      <c r="D383">
        <f t="shared" si="20"/>
        <v>380</v>
      </c>
      <c r="E383">
        <f t="shared" si="21"/>
        <v>88.699999999999989</v>
      </c>
      <c r="H383" s="62">
        <f t="shared" si="22"/>
        <v>11000</v>
      </c>
    </row>
    <row r="384" spans="4:8" x14ac:dyDescent="0.25">
      <c r="D384">
        <f t="shared" si="20"/>
        <v>381</v>
      </c>
      <c r="E384">
        <f t="shared" si="21"/>
        <v>90.9</v>
      </c>
      <c r="H384" s="62">
        <f t="shared" si="22"/>
        <v>10700</v>
      </c>
    </row>
    <row r="385" spans="4:8" x14ac:dyDescent="0.25">
      <c r="D385">
        <f t="shared" si="20"/>
        <v>382</v>
      </c>
      <c r="E385">
        <f t="shared" si="21"/>
        <v>93.100000000000009</v>
      </c>
      <c r="H385" s="62">
        <f t="shared" si="22"/>
        <v>10500</v>
      </c>
    </row>
    <row r="386" spans="4:8" x14ac:dyDescent="0.25">
      <c r="D386">
        <f t="shared" si="20"/>
        <v>383</v>
      </c>
      <c r="E386">
        <f t="shared" si="21"/>
        <v>95.3</v>
      </c>
      <c r="H386" s="62">
        <f t="shared" si="22"/>
        <v>10200</v>
      </c>
    </row>
    <row r="387" spans="4:8" x14ac:dyDescent="0.25">
      <c r="D387">
        <f t="shared" si="20"/>
        <v>384</v>
      </c>
      <c r="E387">
        <f t="shared" si="21"/>
        <v>97.600000000000023</v>
      </c>
      <c r="H387" s="62">
        <f t="shared" si="22"/>
        <v>10000</v>
      </c>
    </row>
    <row r="388" spans="4:8" x14ac:dyDescent="0.25">
      <c r="D388">
        <f t="shared" si="20"/>
        <v>385</v>
      </c>
      <c r="E388">
        <f t="shared" si="21"/>
        <v>100</v>
      </c>
      <c r="H388" s="62">
        <f t="shared" si="22"/>
        <v>9760</v>
      </c>
    </row>
    <row r="389" spans="4:8" x14ac:dyDescent="0.25">
      <c r="D389">
        <f t="shared" si="20"/>
        <v>386</v>
      </c>
      <c r="E389">
        <f t="shared" si="21"/>
        <v>102</v>
      </c>
      <c r="H389" s="62">
        <f t="shared" si="22"/>
        <v>9530</v>
      </c>
    </row>
    <row r="390" spans="4:8" x14ac:dyDescent="0.25">
      <c r="D390">
        <f t="shared" ref="D390:D453" si="23">1+D389</f>
        <v>387</v>
      </c>
      <c r="E390">
        <f t="shared" si="21"/>
        <v>105</v>
      </c>
      <c r="H390" s="62">
        <f t="shared" si="22"/>
        <v>9310</v>
      </c>
    </row>
    <row r="391" spans="4:8" x14ac:dyDescent="0.25">
      <c r="D391">
        <f t="shared" si="23"/>
        <v>388</v>
      </c>
      <c r="E391">
        <f t="shared" si="21"/>
        <v>107.00000000000001</v>
      </c>
      <c r="H391" s="62">
        <f t="shared" si="22"/>
        <v>9090</v>
      </c>
    </row>
    <row r="392" spans="4:8" x14ac:dyDescent="0.25">
      <c r="D392">
        <f t="shared" si="23"/>
        <v>389</v>
      </c>
      <c r="E392">
        <f t="shared" si="21"/>
        <v>110</v>
      </c>
      <c r="H392" s="62">
        <f t="shared" si="22"/>
        <v>8869.9999999999964</v>
      </c>
    </row>
    <row r="393" spans="4:8" x14ac:dyDescent="0.25">
      <c r="D393">
        <f t="shared" si="23"/>
        <v>390</v>
      </c>
      <c r="E393">
        <f t="shared" si="21"/>
        <v>112.99999999999999</v>
      </c>
      <c r="H393" s="62">
        <f t="shared" si="22"/>
        <v>8660</v>
      </c>
    </row>
    <row r="394" spans="4:8" x14ac:dyDescent="0.25">
      <c r="D394">
        <f t="shared" si="23"/>
        <v>391</v>
      </c>
      <c r="E394">
        <f t="shared" si="21"/>
        <v>115</v>
      </c>
      <c r="H394" s="62">
        <f t="shared" si="22"/>
        <v>8450</v>
      </c>
    </row>
    <row r="395" spans="4:8" x14ac:dyDescent="0.25">
      <c r="D395">
        <f t="shared" si="23"/>
        <v>392</v>
      </c>
      <c r="E395">
        <f t="shared" si="21"/>
        <v>117.99999999999999</v>
      </c>
      <c r="H395" s="62">
        <f t="shared" si="22"/>
        <v>8250</v>
      </c>
    </row>
    <row r="396" spans="4:8" x14ac:dyDescent="0.25">
      <c r="D396">
        <f t="shared" si="23"/>
        <v>393</v>
      </c>
      <c r="E396">
        <f t="shared" si="21"/>
        <v>121</v>
      </c>
      <c r="H396" s="62">
        <f t="shared" si="22"/>
        <v>8060</v>
      </c>
    </row>
    <row r="397" spans="4:8" x14ac:dyDescent="0.25">
      <c r="D397">
        <f t="shared" si="23"/>
        <v>394</v>
      </c>
      <c r="E397">
        <f t="shared" si="21"/>
        <v>124</v>
      </c>
      <c r="H397" s="62">
        <f t="shared" si="22"/>
        <v>7870</v>
      </c>
    </row>
    <row r="398" spans="4:8" x14ac:dyDescent="0.25">
      <c r="D398">
        <f t="shared" si="23"/>
        <v>395</v>
      </c>
      <c r="E398">
        <f t="shared" si="21"/>
        <v>127</v>
      </c>
      <c r="H398" s="62">
        <f t="shared" si="22"/>
        <v>7680</v>
      </c>
    </row>
    <row r="399" spans="4:8" x14ac:dyDescent="0.25">
      <c r="D399">
        <f t="shared" si="23"/>
        <v>396</v>
      </c>
      <c r="E399">
        <f t="shared" si="21"/>
        <v>130</v>
      </c>
      <c r="H399" s="62">
        <f t="shared" si="22"/>
        <v>7500</v>
      </c>
    </row>
    <row r="400" spans="4:8" x14ac:dyDescent="0.25">
      <c r="D400">
        <f t="shared" si="23"/>
        <v>397</v>
      </c>
      <c r="E400">
        <f t="shared" si="21"/>
        <v>133</v>
      </c>
      <c r="H400" s="62">
        <f t="shared" si="22"/>
        <v>7320</v>
      </c>
    </row>
    <row r="401" spans="4:8" x14ac:dyDescent="0.25">
      <c r="D401">
        <f t="shared" si="23"/>
        <v>398</v>
      </c>
      <c r="E401">
        <f t="shared" si="21"/>
        <v>137</v>
      </c>
      <c r="H401" s="62">
        <f t="shared" si="22"/>
        <v>7150</v>
      </c>
    </row>
    <row r="402" spans="4:8" x14ac:dyDescent="0.25">
      <c r="D402">
        <f t="shared" si="23"/>
        <v>399</v>
      </c>
      <c r="E402">
        <f t="shared" si="21"/>
        <v>140</v>
      </c>
      <c r="H402" s="62">
        <f t="shared" si="22"/>
        <v>6980</v>
      </c>
    </row>
    <row r="403" spans="4:8" x14ac:dyDescent="0.25">
      <c r="D403">
        <f t="shared" si="23"/>
        <v>400</v>
      </c>
      <c r="E403">
        <f t="shared" si="21"/>
        <v>143</v>
      </c>
      <c r="H403" s="62">
        <f t="shared" si="22"/>
        <v>6810</v>
      </c>
    </row>
    <row r="404" spans="4:8" x14ac:dyDescent="0.25">
      <c r="D404">
        <f t="shared" si="23"/>
        <v>401</v>
      </c>
      <c r="E404">
        <f t="shared" si="21"/>
        <v>147</v>
      </c>
      <c r="H404" s="62">
        <f t="shared" si="22"/>
        <v>6650</v>
      </c>
    </row>
    <row r="405" spans="4:8" x14ac:dyDescent="0.25">
      <c r="D405">
        <f t="shared" si="23"/>
        <v>402</v>
      </c>
      <c r="E405">
        <f t="shared" si="21"/>
        <v>150</v>
      </c>
      <c r="H405" s="62">
        <f t="shared" si="22"/>
        <v>6490</v>
      </c>
    </row>
    <row r="406" spans="4:8" x14ac:dyDescent="0.25">
      <c r="D406">
        <f t="shared" si="23"/>
        <v>403</v>
      </c>
      <c r="E406">
        <f t="shared" si="21"/>
        <v>154</v>
      </c>
      <c r="H406" s="62">
        <f t="shared" si="22"/>
        <v>6340</v>
      </c>
    </row>
    <row r="407" spans="4:8" x14ac:dyDescent="0.25">
      <c r="D407">
        <f t="shared" si="23"/>
        <v>404</v>
      </c>
      <c r="E407">
        <f t="shared" si="21"/>
        <v>158.00000000000003</v>
      </c>
      <c r="H407" s="62">
        <f t="shared" si="22"/>
        <v>6190.0000000000018</v>
      </c>
    </row>
    <row r="408" spans="4:8" x14ac:dyDescent="0.25">
      <c r="D408">
        <f t="shared" si="23"/>
        <v>405</v>
      </c>
      <c r="E408">
        <f t="shared" si="21"/>
        <v>162.00000000000003</v>
      </c>
      <c r="H408" s="62">
        <f t="shared" si="22"/>
        <v>6040</v>
      </c>
    </row>
    <row r="409" spans="4:8" x14ac:dyDescent="0.25">
      <c r="D409">
        <f t="shared" si="23"/>
        <v>406</v>
      </c>
      <c r="E409">
        <f t="shared" si="21"/>
        <v>165</v>
      </c>
      <c r="H409" s="62">
        <f t="shared" si="22"/>
        <v>5900</v>
      </c>
    </row>
    <row r="410" spans="4:8" x14ac:dyDescent="0.25">
      <c r="D410">
        <f t="shared" si="23"/>
        <v>407</v>
      </c>
      <c r="E410">
        <f t="shared" si="21"/>
        <v>169</v>
      </c>
      <c r="H410" s="62">
        <f t="shared" si="22"/>
        <v>5760</v>
      </c>
    </row>
    <row r="411" spans="4:8" x14ac:dyDescent="0.25">
      <c r="D411">
        <f t="shared" si="23"/>
        <v>408</v>
      </c>
      <c r="E411">
        <f t="shared" si="21"/>
        <v>174</v>
      </c>
      <c r="H411" s="62">
        <f t="shared" si="22"/>
        <v>5620</v>
      </c>
    </row>
    <row r="412" spans="4:8" x14ac:dyDescent="0.25">
      <c r="D412">
        <f t="shared" si="23"/>
        <v>409</v>
      </c>
      <c r="E412">
        <f t="shared" si="21"/>
        <v>177.99999999999997</v>
      </c>
      <c r="H412" s="62">
        <f t="shared" si="22"/>
        <v>5490</v>
      </c>
    </row>
    <row r="413" spans="4:8" x14ac:dyDescent="0.25">
      <c r="D413">
        <f t="shared" si="23"/>
        <v>410</v>
      </c>
      <c r="E413">
        <f t="shared" si="21"/>
        <v>182</v>
      </c>
      <c r="H413" s="62">
        <f t="shared" si="22"/>
        <v>5360</v>
      </c>
    </row>
    <row r="414" spans="4:8" x14ac:dyDescent="0.25">
      <c r="D414">
        <f t="shared" si="23"/>
        <v>411</v>
      </c>
      <c r="E414">
        <f t="shared" si="21"/>
        <v>187.00000000000003</v>
      </c>
      <c r="H414" s="62">
        <f t="shared" si="22"/>
        <v>5230.0000000000018</v>
      </c>
    </row>
    <row r="415" spans="4:8" x14ac:dyDescent="0.25">
      <c r="D415">
        <f t="shared" si="23"/>
        <v>412</v>
      </c>
      <c r="E415">
        <f t="shared" si="21"/>
        <v>191</v>
      </c>
      <c r="H415" s="62">
        <f t="shared" si="22"/>
        <v>5110</v>
      </c>
    </row>
    <row r="416" spans="4:8" x14ac:dyDescent="0.25">
      <c r="D416">
        <f t="shared" si="23"/>
        <v>413</v>
      </c>
      <c r="E416">
        <f t="shared" si="21"/>
        <v>196</v>
      </c>
      <c r="H416" s="62">
        <f t="shared" si="22"/>
        <v>4990</v>
      </c>
    </row>
    <row r="417" spans="4:8" x14ac:dyDescent="0.25">
      <c r="D417">
        <f t="shared" si="23"/>
        <v>414</v>
      </c>
      <c r="E417">
        <f t="shared" si="21"/>
        <v>200</v>
      </c>
      <c r="H417" s="62">
        <f t="shared" si="22"/>
        <v>4870</v>
      </c>
    </row>
    <row r="418" spans="4:8" x14ac:dyDescent="0.25">
      <c r="D418">
        <f t="shared" si="23"/>
        <v>415</v>
      </c>
      <c r="E418">
        <f t="shared" si="21"/>
        <v>205</v>
      </c>
      <c r="H418" s="62">
        <f t="shared" si="22"/>
        <v>4750</v>
      </c>
    </row>
    <row r="419" spans="4:8" x14ac:dyDescent="0.25">
      <c r="D419">
        <f t="shared" si="23"/>
        <v>416</v>
      </c>
      <c r="E419">
        <f t="shared" si="21"/>
        <v>210</v>
      </c>
      <c r="H419" s="62">
        <f t="shared" si="22"/>
        <v>4640</v>
      </c>
    </row>
    <row r="420" spans="4:8" x14ac:dyDescent="0.25">
      <c r="D420">
        <f t="shared" si="23"/>
        <v>417</v>
      </c>
      <c r="E420">
        <f t="shared" si="21"/>
        <v>216</v>
      </c>
      <c r="H420" s="62">
        <f t="shared" si="22"/>
        <v>4530</v>
      </c>
    </row>
    <row r="421" spans="4:8" x14ac:dyDescent="0.25">
      <c r="D421">
        <f t="shared" si="23"/>
        <v>418</v>
      </c>
      <c r="E421">
        <f t="shared" ref="E421:E484" si="24">10*E325</f>
        <v>221.00000000000006</v>
      </c>
      <c r="H421" s="62">
        <f t="shared" ref="H421:H484" si="25">H325/10</f>
        <v>4420</v>
      </c>
    </row>
    <row r="422" spans="4:8" x14ac:dyDescent="0.25">
      <c r="D422">
        <f t="shared" si="23"/>
        <v>419</v>
      </c>
      <c r="E422">
        <f t="shared" si="24"/>
        <v>225.99999999999997</v>
      </c>
      <c r="H422" s="62">
        <f t="shared" si="25"/>
        <v>4320</v>
      </c>
    </row>
    <row r="423" spans="4:8" x14ac:dyDescent="0.25">
      <c r="D423">
        <f t="shared" si="23"/>
        <v>420</v>
      </c>
      <c r="E423">
        <f t="shared" si="24"/>
        <v>232</v>
      </c>
      <c r="H423" s="62">
        <f t="shared" si="25"/>
        <v>4220</v>
      </c>
    </row>
    <row r="424" spans="4:8" x14ac:dyDescent="0.25">
      <c r="D424">
        <f t="shared" si="23"/>
        <v>421</v>
      </c>
      <c r="E424">
        <f t="shared" si="24"/>
        <v>237.00000000000003</v>
      </c>
      <c r="H424" s="62">
        <f t="shared" si="25"/>
        <v>4120</v>
      </c>
    </row>
    <row r="425" spans="4:8" x14ac:dyDescent="0.25">
      <c r="D425">
        <f t="shared" si="23"/>
        <v>422</v>
      </c>
      <c r="E425">
        <f t="shared" si="24"/>
        <v>243</v>
      </c>
      <c r="H425" s="62">
        <f t="shared" si="25"/>
        <v>4019.9999999999986</v>
      </c>
    </row>
    <row r="426" spans="4:8" x14ac:dyDescent="0.25">
      <c r="D426">
        <f t="shared" si="23"/>
        <v>423</v>
      </c>
      <c r="E426">
        <f t="shared" si="24"/>
        <v>249.00000000000003</v>
      </c>
      <c r="H426" s="62">
        <f t="shared" si="25"/>
        <v>3920</v>
      </c>
    </row>
    <row r="427" spans="4:8" x14ac:dyDescent="0.25">
      <c r="D427">
        <f t="shared" si="23"/>
        <v>424</v>
      </c>
      <c r="E427">
        <f t="shared" si="24"/>
        <v>255</v>
      </c>
      <c r="H427" s="62">
        <f t="shared" si="25"/>
        <v>3830</v>
      </c>
    </row>
    <row r="428" spans="4:8" x14ac:dyDescent="0.25">
      <c r="D428">
        <f t="shared" si="23"/>
        <v>425</v>
      </c>
      <c r="E428">
        <f t="shared" si="24"/>
        <v>261</v>
      </c>
      <c r="H428" s="62">
        <f t="shared" si="25"/>
        <v>3740</v>
      </c>
    </row>
    <row r="429" spans="4:8" x14ac:dyDescent="0.25">
      <c r="D429">
        <f t="shared" si="23"/>
        <v>426</v>
      </c>
      <c r="E429">
        <f t="shared" si="24"/>
        <v>267</v>
      </c>
      <c r="H429" s="62">
        <f t="shared" si="25"/>
        <v>3650</v>
      </c>
    </row>
    <row r="430" spans="4:8" x14ac:dyDescent="0.25">
      <c r="D430">
        <f t="shared" si="23"/>
        <v>427</v>
      </c>
      <c r="E430">
        <f t="shared" si="24"/>
        <v>274</v>
      </c>
      <c r="H430" s="62">
        <f t="shared" si="25"/>
        <v>3570</v>
      </c>
    </row>
    <row r="431" spans="4:8" x14ac:dyDescent="0.25">
      <c r="D431">
        <f t="shared" si="23"/>
        <v>428</v>
      </c>
      <c r="E431">
        <f t="shared" si="24"/>
        <v>280</v>
      </c>
      <c r="H431" s="62">
        <f t="shared" si="25"/>
        <v>3480</v>
      </c>
    </row>
    <row r="432" spans="4:8" x14ac:dyDescent="0.25">
      <c r="D432">
        <f t="shared" si="23"/>
        <v>429</v>
      </c>
      <c r="E432">
        <f t="shared" si="24"/>
        <v>287</v>
      </c>
      <c r="H432" s="62">
        <f t="shared" si="25"/>
        <v>3400</v>
      </c>
    </row>
    <row r="433" spans="4:8" x14ac:dyDescent="0.25">
      <c r="D433">
        <f t="shared" si="23"/>
        <v>430</v>
      </c>
      <c r="E433">
        <f t="shared" si="24"/>
        <v>294</v>
      </c>
      <c r="H433" s="62">
        <f t="shared" si="25"/>
        <v>3320</v>
      </c>
    </row>
    <row r="434" spans="4:8" x14ac:dyDescent="0.25">
      <c r="D434">
        <f t="shared" si="23"/>
        <v>431</v>
      </c>
      <c r="E434">
        <f t="shared" si="24"/>
        <v>301</v>
      </c>
      <c r="H434" s="62">
        <f t="shared" si="25"/>
        <v>3240.0000000000009</v>
      </c>
    </row>
    <row r="435" spans="4:8" x14ac:dyDescent="0.25">
      <c r="D435">
        <f t="shared" si="23"/>
        <v>432</v>
      </c>
      <c r="E435">
        <f t="shared" si="24"/>
        <v>309</v>
      </c>
      <c r="H435" s="62">
        <f t="shared" si="25"/>
        <v>3160</v>
      </c>
    </row>
    <row r="436" spans="4:8" x14ac:dyDescent="0.25">
      <c r="D436">
        <f t="shared" si="23"/>
        <v>433</v>
      </c>
      <c r="E436">
        <f t="shared" si="24"/>
        <v>316.00000000000006</v>
      </c>
      <c r="H436" s="62">
        <f t="shared" si="25"/>
        <v>3090</v>
      </c>
    </row>
    <row r="437" spans="4:8" x14ac:dyDescent="0.25">
      <c r="D437">
        <f t="shared" si="23"/>
        <v>434</v>
      </c>
      <c r="E437">
        <f t="shared" si="24"/>
        <v>324.00000000000006</v>
      </c>
      <c r="H437" s="62">
        <f t="shared" si="25"/>
        <v>3009.9999999999991</v>
      </c>
    </row>
    <row r="438" spans="4:8" x14ac:dyDescent="0.25">
      <c r="D438">
        <f t="shared" si="23"/>
        <v>435</v>
      </c>
      <c r="E438">
        <f t="shared" si="24"/>
        <v>332</v>
      </c>
      <c r="H438" s="62">
        <f t="shared" si="25"/>
        <v>2940</v>
      </c>
    </row>
    <row r="439" spans="4:8" x14ac:dyDescent="0.25">
      <c r="D439">
        <f t="shared" si="23"/>
        <v>436</v>
      </c>
      <c r="E439">
        <f t="shared" si="24"/>
        <v>340</v>
      </c>
      <c r="H439" s="62">
        <f t="shared" si="25"/>
        <v>2870</v>
      </c>
    </row>
    <row r="440" spans="4:8" x14ac:dyDescent="0.25">
      <c r="D440">
        <f t="shared" si="23"/>
        <v>437</v>
      </c>
      <c r="E440">
        <f t="shared" si="24"/>
        <v>348</v>
      </c>
      <c r="H440" s="62">
        <f t="shared" si="25"/>
        <v>2800</v>
      </c>
    </row>
    <row r="441" spans="4:8" x14ac:dyDescent="0.25">
      <c r="D441">
        <f t="shared" si="23"/>
        <v>438</v>
      </c>
      <c r="E441">
        <f t="shared" si="24"/>
        <v>357</v>
      </c>
      <c r="H441" s="62">
        <f t="shared" si="25"/>
        <v>2740.0000000000009</v>
      </c>
    </row>
    <row r="442" spans="4:8" x14ac:dyDescent="0.25">
      <c r="D442">
        <f t="shared" si="23"/>
        <v>439</v>
      </c>
      <c r="E442">
        <f t="shared" si="24"/>
        <v>365</v>
      </c>
      <c r="H442" s="62">
        <f t="shared" si="25"/>
        <v>2670</v>
      </c>
    </row>
    <row r="443" spans="4:8" x14ac:dyDescent="0.25">
      <c r="D443">
        <f t="shared" si="23"/>
        <v>440</v>
      </c>
      <c r="E443">
        <f t="shared" si="24"/>
        <v>374.00000000000006</v>
      </c>
      <c r="H443" s="62">
        <f t="shared" si="25"/>
        <v>2610</v>
      </c>
    </row>
    <row r="444" spans="4:8" x14ac:dyDescent="0.25">
      <c r="D444">
        <f t="shared" si="23"/>
        <v>441</v>
      </c>
      <c r="E444">
        <f t="shared" si="24"/>
        <v>383</v>
      </c>
      <c r="H444" s="62">
        <f t="shared" si="25"/>
        <v>2550</v>
      </c>
    </row>
    <row r="445" spans="4:8" x14ac:dyDescent="0.25">
      <c r="D445">
        <f t="shared" si="23"/>
        <v>442</v>
      </c>
      <c r="E445">
        <f t="shared" si="24"/>
        <v>392</v>
      </c>
      <c r="H445" s="62">
        <f t="shared" si="25"/>
        <v>2490.0000000000009</v>
      </c>
    </row>
    <row r="446" spans="4:8" x14ac:dyDescent="0.25">
      <c r="D446">
        <f t="shared" si="23"/>
        <v>443</v>
      </c>
      <c r="E446">
        <f t="shared" si="24"/>
        <v>402</v>
      </c>
      <c r="H446" s="62">
        <f t="shared" si="25"/>
        <v>2430</v>
      </c>
    </row>
    <row r="447" spans="4:8" x14ac:dyDescent="0.25">
      <c r="D447">
        <f t="shared" si="23"/>
        <v>444</v>
      </c>
      <c r="E447">
        <f t="shared" si="24"/>
        <v>412</v>
      </c>
      <c r="H447" s="62">
        <f t="shared" si="25"/>
        <v>2370</v>
      </c>
    </row>
    <row r="448" spans="4:8" x14ac:dyDescent="0.25">
      <c r="D448">
        <f t="shared" si="23"/>
        <v>445</v>
      </c>
      <c r="E448">
        <f t="shared" si="24"/>
        <v>422</v>
      </c>
      <c r="H448" s="62">
        <f t="shared" si="25"/>
        <v>2320</v>
      </c>
    </row>
    <row r="449" spans="4:8" x14ac:dyDescent="0.25">
      <c r="D449">
        <f t="shared" si="23"/>
        <v>446</v>
      </c>
      <c r="E449">
        <f t="shared" si="24"/>
        <v>432</v>
      </c>
      <c r="H449" s="62">
        <f t="shared" si="25"/>
        <v>2259.9999999999991</v>
      </c>
    </row>
    <row r="450" spans="4:8" x14ac:dyDescent="0.25">
      <c r="D450">
        <f t="shared" si="23"/>
        <v>447</v>
      </c>
      <c r="E450">
        <f t="shared" si="24"/>
        <v>442.00000000000011</v>
      </c>
      <c r="H450" s="62">
        <f t="shared" si="25"/>
        <v>2210</v>
      </c>
    </row>
    <row r="451" spans="4:8" x14ac:dyDescent="0.25">
      <c r="D451">
        <f t="shared" si="23"/>
        <v>448</v>
      </c>
      <c r="E451">
        <f t="shared" si="24"/>
        <v>453.00000000000006</v>
      </c>
      <c r="H451" s="62">
        <f t="shared" si="25"/>
        <v>2160</v>
      </c>
    </row>
    <row r="452" spans="4:8" x14ac:dyDescent="0.25">
      <c r="D452">
        <f t="shared" si="23"/>
        <v>449</v>
      </c>
      <c r="E452">
        <f t="shared" si="24"/>
        <v>464</v>
      </c>
      <c r="H452" s="62">
        <f t="shared" si="25"/>
        <v>2100</v>
      </c>
    </row>
    <row r="453" spans="4:8" x14ac:dyDescent="0.25">
      <c r="D453">
        <f t="shared" si="23"/>
        <v>450</v>
      </c>
      <c r="E453">
        <f t="shared" si="24"/>
        <v>475</v>
      </c>
      <c r="H453" s="62">
        <f t="shared" si="25"/>
        <v>2050</v>
      </c>
    </row>
    <row r="454" spans="4:8" x14ac:dyDescent="0.25">
      <c r="D454">
        <f t="shared" ref="D454:D517" si="26">1+D453</f>
        <v>451</v>
      </c>
      <c r="E454">
        <f t="shared" si="24"/>
        <v>487</v>
      </c>
      <c r="H454" s="62">
        <f t="shared" si="25"/>
        <v>2000</v>
      </c>
    </row>
    <row r="455" spans="4:8" x14ac:dyDescent="0.25">
      <c r="D455">
        <f t="shared" si="26"/>
        <v>452</v>
      </c>
      <c r="E455">
        <f t="shared" si="24"/>
        <v>499.00000000000006</v>
      </c>
      <c r="H455" s="62">
        <f t="shared" si="25"/>
        <v>1960</v>
      </c>
    </row>
    <row r="456" spans="4:8" x14ac:dyDescent="0.25">
      <c r="D456">
        <f t="shared" si="26"/>
        <v>453</v>
      </c>
      <c r="E456">
        <f t="shared" si="24"/>
        <v>511.00000000000011</v>
      </c>
      <c r="H456" s="62">
        <f t="shared" si="25"/>
        <v>1910</v>
      </c>
    </row>
    <row r="457" spans="4:8" x14ac:dyDescent="0.25">
      <c r="D457">
        <f t="shared" si="26"/>
        <v>454</v>
      </c>
      <c r="E457">
        <f t="shared" si="24"/>
        <v>523</v>
      </c>
      <c r="H457" s="62">
        <f t="shared" si="25"/>
        <v>1870</v>
      </c>
    </row>
    <row r="458" spans="4:8" x14ac:dyDescent="0.25">
      <c r="D458">
        <f t="shared" si="26"/>
        <v>455</v>
      </c>
      <c r="E458">
        <f t="shared" si="24"/>
        <v>536</v>
      </c>
      <c r="H458" s="62">
        <f t="shared" si="25"/>
        <v>1820</v>
      </c>
    </row>
    <row r="459" spans="4:8" x14ac:dyDescent="0.25">
      <c r="D459">
        <f t="shared" si="26"/>
        <v>456</v>
      </c>
      <c r="E459">
        <f t="shared" si="24"/>
        <v>549</v>
      </c>
      <c r="H459" s="62">
        <f t="shared" si="25"/>
        <v>1780</v>
      </c>
    </row>
    <row r="460" spans="4:8" x14ac:dyDescent="0.25">
      <c r="D460">
        <f t="shared" si="26"/>
        <v>457</v>
      </c>
      <c r="E460">
        <f t="shared" si="24"/>
        <v>562.00000000000011</v>
      </c>
      <c r="H460" s="62">
        <f t="shared" si="25"/>
        <v>1740</v>
      </c>
    </row>
    <row r="461" spans="4:8" x14ac:dyDescent="0.25">
      <c r="D461">
        <f t="shared" si="26"/>
        <v>458</v>
      </c>
      <c r="E461">
        <f t="shared" si="24"/>
        <v>576</v>
      </c>
      <c r="H461" s="62">
        <f t="shared" si="25"/>
        <v>1690</v>
      </c>
    </row>
    <row r="462" spans="4:8" x14ac:dyDescent="0.25">
      <c r="D462">
        <f t="shared" si="26"/>
        <v>459</v>
      </c>
      <c r="E462">
        <f t="shared" si="24"/>
        <v>590</v>
      </c>
      <c r="H462" s="62">
        <f t="shared" si="25"/>
        <v>1650</v>
      </c>
    </row>
    <row r="463" spans="4:8" x14ac:dyDescent="0.25">
      <c r="D463">
        <f t="shared" si="26"/>
        <v>460</v>
      </c>
      <c r="E463">
        <f t="shared" si="24"/>
        <v>604</v>
      </c>
      <c r="H463" s="62">
        <f t="shared" si="25"/>
        <v>1620.0000000000005</v>
      </c>
    </row>
    <row r="464" spans="4:8" x14ac:dyDescent="0.25">
      <c r="D464">
        <f t="shared" si="26"/>
        <v>461</v>
      </c>
      <c r="E464">
        <f t="shared" si="24"/>
        <v>618.99999999999989</v>
      </c>
      <c r="H464" s="62">
        <f t="shared" si="25"/>
        <v>1580</v>
      </c>
    </row>
    <row r="465" spans="4:8" x14ac:dyDescent="0.25">
      <c r="D465">
        <f t="shared" si="26"/>
        <v>462</v>
      </c>
      <c r="E465">
        <f t="shared" si="24"/>
        <v>634</v>
      </c>
      <c r="H465" s="62">
        <f t="shared" si="25"/>
        <v>1540</v>
      </c>
    </row>
    <row r="466" spans="4:8" x14ac:dyDescent="0.25">
      <c r="D466">
        <f t="shared" si="26"/>
        <v>463</v>
      </c>
      <c r="E466">
        <f t="shared" si="24"/>
        <v>649</v>
      </c>
      <c r="H466" s="62">
        <f t="shared" si="25"/>
        <v>1500</v>
      </c>
    </row>
    <row r="467" spans="4:8" x14ac:dyDescent="0.25">
      <c r="D467">
        <f t="shared" si="26"/>
        <v>464</v>
      </c>
      <c r="E467">
        <f t="shared" si="24"/>
        <v>665</v>
      </c>
      <c r="H467" s="62">
        <f t="shared" si="25"/>
        <v>1470</v>
      </c>
    </row>
    <row r="468" spans="4:8" x14ac:dyDescent="0.25">
      <c r="D468">
        <f t="shared" si="26"/>
        <v>465</v>
      </c>
      <c r="E468">
        <f t="shared" si="24"/>
        <v>681</v>
      </c>
      <c r="H468" s="62">
        <f t="shared" si="25"/>
        <v>1430</v>
      </c>
    </row>
    <row r="469" spans="4:8" x14ac:dyDescent="0.25">
      <c r="D469">
        <f t="shared" si="26"/>
        <v>466</v>
      </c>
      <c r="E469">
        <f t="shared" si="24"/>
        <v>698</v>
      </c>
      <c r="H469" s="62">
        <f t="shared" si="25"/>
        <v>1400</v>
      </c>
    </row>
    <row r="470" spans="4:8" x14ac:dyDescent="0.25">
      <c r="D470">
        <f t="shared" si="26"/>
        <v>467</v>
      </c>
      <c r="E470">
        <f t="shared" si="24"/>
        <v>715</v>
      </c>
      <c r="H470" s="62">
        <f t="shared" si="25"/>
        <v>1370.0000000000005</v>
      </c>
    </row>
    <row r="471" spans="4:8" x14ac:dyDescent="0.25">
      <c r="D471">
        <f t="shared" si="26"/>
        <v>468</v>
      </c>
      <c r="E471">
        <f t="shared" si="24"/>
        <v>732</v>
      </c>
      <c r="H471" s="62">
        <f t="shared" si="25"/>
        <v>1330</v>
      </c>
    </row>
    <row r="472" spans="4:8" x14ac:dyDescent="0.25">
      <c r="D472">
        <f t="shared" si="26"/>
        <v>469</v>
      </c>
      <c r="E472">
        <f t="shared" si="24"/>
        <v>750</v>
      </c>
      <c r="H472" s="62">
        <f t="shared" si="25"/>
        <v>1300</v>
      </c>
    </row>
    <row r="473" spans="4:8" x14ac:dyDescent="0.25">
      <c r="D473">
        <f t="shared" si="26"/>
        <v>470</v>
      </c>
      <c r="E473">
        <f t="shared" si="24"/>
        <v>767.99999999999977</v>
      </c>
      <c r="H473" s="62">
        <f t="shared" si="25"/>
        <v>1270</v>
      </c>
    </row>
    <row r="474" spans="4:8" x14ac:dyDescent="0.25">
      <c r="D474">
        <f t="shared" si="26"/>
        <v>471</v>
      </c>
      <c r="E474">
        <f t="shared" si="24"/>
        <v>787</v>
      </c>
      <c r="H474" s="62">
        <f t="shared" si="25"/>
        <v>1240</v>
      </c>
    </row>
    <row r="475" spans="4:8" x14ac:dyDescent="0.25">
      <c r="D475">
        <f t="shared" si="26"/>
        <v>472</v>
      </c>
      <c r="E475">
        <f t="shared" si="24"/>
        <v>806.00000000000011</v>
      </c>
      <c r="H475" s="62">
        <f t="shared" si="25"/>
        <v>1210</v>
      </c>
    </row>
    <row r="476" spans="4:8" x14ac:dyDescent="0.25">
      <c r="D476">
        <f t="shared" si="26"/>
        <v>473</v>
      </c>
      <c r="E476">
        <f t="shared" si="24"/>
        <v>825</v>
      </c>
      <c r="H476" s="62">
        <f t="shared" si="25"/>
        <v>1180</v>
      </c>
    </row>
    <row r="477" spans="4:8" x14ac:dyDescent="0.25">
      <c r="D477">
        <f t="shared" si="26"/>
        <v>474</v>
      </c>
      <c r="E477">
        <f t="shared" si="24"/>
        <v>845</v>
      </c>
      <c r="H477" s="62">
        <f t="shared" si="25"/>
        <v>1150</v>
      </c>
    </row>
    <row r="478" spans="4:8" x14ac:dyDescent="0.25">
      <c r="D478">
        <f t="shared" si="26"/>
        <v>475</v>
      </c>
      <c r="E478">
        <f t="shared" si="24"/>
        <v>866</v>
      </c>
      <c r="H478" s="62">
        <f t="shared" si="25"/>
        <v>1129.9999999999995</v>
      </c>
    </row>
    <row r="479" spans="4:8" x14ac:dyDescent="0.25">
      <c r="D479">
        <f t="shared" si="26"/>
        <v>476</v>
      </c>
      <c r="E479">
        <f t="shared" si="24"/>
        <v>886.99999999999989</v>
      </c>
      <c r="H479" s="62">
        <f t="shared" si="25"/>
        <v>1100</v>
      </c>
    </row>
    <row r="480" spans="4:8" x14ac:dyDescent="0.25">
      <c r="D480">
        <f t="shared" si="26"/>
        <v>477</v>
      </c>
      <c r="E480">
        <f t="shared" si="24"/>
        <v>909</v>
      </c>
      <c r="H480" s="62">
        <f t="shared" si="25"/>
        <v>1070</v>
      </c>
    </row>
    <row r="481" spans="4:8" x14ac:dyDescent="0.25">
      <c r="D481">
        <f t="shared" si="26"/>
        <v>478</v>
      </c>
      <c r="E481">
        <f t="shared" si="24"/>
        <v>931.00000000000011</v>
      </c>
      <c r="H481" s="62">
        <f t="shared" si="25"/>
        <v>1050</v>
      </c>
    </row>
    <row r="482" spans="4:8" x14ac:dyDescent="0.25">
      <c r="D482">
        <f t="shared" si="26"/>
        <v>479</v>
      </c>
      <c r="E482">
        <f t="shared" si="24"/>
        <v>953</v>
      </c>
      <c r="H482" s="62">
        <f t="shared" si="25"/>
        <v>1020</v>
      </c>
    </row>
    <row r="483" spans="4:8" x14ac:dyDescent="0.25">
      <c r="D483">
        <f t="shared" si="26"/>
        <v>480</v>
      </c>
      <c r="E483">
        <f t="shared" si="24"/>
        <v>976.00000000000023</v>
      </c>
      <c r="H483" s="62">
        <f t="shared" si="25"/>
        <v>1000</v>
      </c>
    </row>
    <row r="484" spans="4:8" x14ac:dyDescent="0.25">
      <c r="D484">
        <f t="shared" si="26"/>
        <v>481</v>
      </c>
      <c r="E484">
        <f t="shared" si="24"/>
        <v>1000</v>
      </c>
      <c r="H484" s="62">
        <f t="shared" si="25"/>
        <v>976</v>
      </c>
    </row>
    <row r="485" spans="4:8" x14ac:dyDescent="0.25">
      <c r="D485">
        <f t="shared" si="26"/>
        <v>482</v>
      </c>
      <c r="E485">
        <f t="shared" ref="E485:E548" si="27">10*E389</f>
        <v>1020</v>
      </c>
      <c r="H485" s="62">
        <f t="shared" ref="H485:H548" si="28">H389/10</f>
        <v>953</v>
      </c>
    </row>
    <row r="486" spans="4:8" x14ac:dyDescent="0.25">
      <c r="D486">
        <f t="shared" si="26"/>
        <v>483</v>
      </c>
      <c r="E486">
        <f t="shared" si="27"/>
        <v>1050</v>
      </c>
      <c r="H486" s="62">
        <f t="shared" si="28"/>
        <v>931</v>
      </c>
    </row>
    <row r="487" spans="4:8" x14ac:dyDescent="0.25">
      <c r="D487">
        <f t="shared" si="26"/>
        <v>484</v>
      </c>
      <c r="E487">
        <f t="shared" si="27"/>
        <v>1070.0000000000002</v>
      </c>
      <c r="H487" s="62">
        <f t="shared" si="28"/>
        <v>909</v>
      </c>
    </row>
    <row r="488" spans="4:8" x14ac:dyDescent="0.25">
      <c r="D488">
        <f t="shared" si="26"/>
        <v>485</v>
      </c>
      <c r="E488">
        <f t="shared" si="27"/>
        <v>1100</v>
      </c>
      <c r="H488" s="62">
        <f t="shared" si="28"/>
        <v>886.99999999999966</v>
      </c>
    </row>
    <row r="489" spans="4:8" x14ac:dyDescent="0.25">
      <c r="D489">
        <f t="shared" si="26"/>
        <v>486</v>
      </c>
      <c r="E489">
        <f t="shared" si="27"/>
        <v>1129.9999999999998</v>
      </c>
      <c r="H489" s="62">
        <f t="shared" si="28"/>
        <v>866</v>
      </c>
    </row>
    <row r="490" spans="4:8" x14ac:dyDescent="0.25">
      <c r="D490">
        <f t="shared" si="26"/>
        <v>487</v>
      </c>
      <c r="E490">
        <f t="shared" si="27"/>
        <v>1150</v>
      </c>
      <c r="H490" s="62">
        <f t="shared" si="28"/>
        <v>845</v>
      </c>
    </row>
    <row r="491" spans="4:8" x14ac:dyDescent="0.25">
      <c r="D491">
        <f t="shared" si="26"/>
        <v>488</v>
      </c>
      <c r="E491">
        <f t="shared" si="27"/>
        <v>1179.9999999999998</v>
      </c>
      <c r="H491" s="62">
        <f t="shared" si="28"/>
        <v>825</v>
      </c>
    </row>
    <row r="492" spans="4:8" x14ac:dyDescent="0.25">
      <c r="D492">
        <f t="shared" si="26"/>
        <v>489</v>
      </c>
      <c r="E492">
        <f t="shared" si="27"/>
        <v>1210</v>
      </c>
      <c r="H492" s="62">
        <f t="shared" si="28"/>
        <v>806</v>
      </c>
    </row>
    <row r="493" spans="4:8" x14ac:dyDescent="0.25">
      <c r="D493">
        <f t="shared" si="26"/>
        <v>490</v>
      </c>
      <c r="E493">
        <f t="shared" si="27"/>
        <v>1240</v>
      </c>
      <c r="H493" s="62">
        <f t="shared" si="28"/>
        <v>787</v>
      </c>
    </row>
    <row r="494" spans="4:8" x14ac:dyDescent="0.25">
      <c r="D494">
        <f t="shared" si="26"/>
        <v>491</v>
      </c>
      <c r="E494">
        <f t="shared" si="27"/>
        <v>1270</v>
      </c>
      <c r="H494" s="62">
        <f t="shared" si="28"/>
        <v>768</v>
      </c>
    </row>
    <row r="495" spans="4:8" x14ac:dyDescent="0.25">
      <c r="D495">
        <f t="shared" si="26"/>
        <v>492</v>
      </c>
      <c r="E495">
        <f t="shared" si="27"/>
        <v>1300</v>
      </c>
      <c r="H495" s="62">
        <f t="shared" si="28"/>
        <v>750</v>
      </c>
    </row>
    <row r="496" spans="4:8" x14ac:dyDescent="0.25">
      <c r="D496">
        <f t="shared" si="26"/>
        <v>493</v>
      </c>
      <c r="E496">
        <f t="shared" si="27"/>
        <v>1330</v>
      </c>
      <c r="H496" s="62">
        <f t="shared" si="28"/>
        <v>732</v>
      </c>
    </row>
    <row r="497" spans="4:8" x14ac:dyDescent="0.25">
      <c r="D497">
        <f t="shared" si="26"/>
        <v>494</v>
      </c>
      <c r="E497">
        <f t="shared" si="27"/>
        <v>1370</v>
      </c>
      <c r="H497" s="62">
        <f t="shared" si="28"/>
        <v>715</v>
      </c>
    </row>
    <row r="498" spans="4:8" x14ac:dyDescent="0.25">
      <c r="D498">
        <f t="shared" si="26"/>
        <v>495</v>
      </c>
      <c r="E498">
        <f t="shared" si="27"/>
        <v>1400</v>
      </c>
      <c r="H498" s="62">
        <f t="shared" si="28"/>
        <v>698</v>
      </c>
    </row>
    <row r="499" spans="4:8" x14ac:dyDescent="0.25">
      <c r="D499">
        <f t="shared" si="26"/>
        <v>496</v>
      </c>
      <c r="E499">
        <f t="shared" si="27"/>
        <v>1430</v>
      </c>
      <c r="H499" s="62">
        <f t="shared" si="28"/>
        <v>681</v>
      </c>
    </row>
    <row r="500" spans="4:8" x14ac:dyDescent="0.25">
      <c r="D500">
        <f t="shared" si="26"/>
        <v>497</v>
      </c>
      <c r="E500">
        <f t="shared" si="27"/>
        <v>1470</v>
      </c>
      <c r="H500" s="62">
        <f t="shared" si="28"/>
        <v>665</v>
      </c>
    </row>
    <row r="501" spans="4:8" x14ac:dyDescent="0.25">
      <c r="D501">
        <f t="shared" si="26"/>
        <v>498</v>
      </c>
      <c r="E501">
        <f t="shared" si="27"/>
        <v>1500</v>
      </c>
      <c r="H501" s="62">
        <f t="shared" si="28"/>
        <v>649</v>
      </c>
    </row>
    <row r="502" spans="4:8" x14ac:dyDescent="0.25">
      <c r="D502">
        <f t="shared" si="26"/>
        <v>499</v>
      </c>
      <c r="E502">
        <f t="shared" si="27"/>
        <v>1540</v>
      </c>
      <c r="H502" s="62">
        <f t="shared" si="28"/>
        <v>634</v>
      </c>
    </row>
    <row r="503" spans="4:8" x14ac:dyDescent="0.25">
      <c r="D503">
        <f t="shared" si="26"/>
        <v>500</v>
      </c>
      <c r="E503">
        <f t="shared" si="27"/>
        <v>1580.0000000000002</v>
      </c>
      <c r="H503" s="62">
        <f t="shared" si="28"/>
        <v>619.00000000000023</v>
      </c>
    </row>
    <row r="504" spans="4:8" x14ac:dyDescent="0.25">
      <c r="D504">
        <f t="shared" si="26"/>
        <v>501</v>
      </c>
      <c r="E504">
        <f t="shared" si="27"/>
        <v>1620.0000000000002</v>
      </c>
      <c r="H504" s="62">
        <f t="shared" si="28"/>
        <v>604</v>
      </c>
    </row>
    <row r="505" spans="4:8" x14ac:dyDescent="0.25">
      <c r="D505">
        <f t="shared" si="26"/>
        <v>502</v>
      </c>
      <c r="E505">
        <f t="shared" si="27"/>
        <v>1650</v>
      </c>
      <c r="H505" s="62">
        <f t="shared" si="28"/>
        <v>590</v>
      </c>
    </row>
    <row r="506" spans="4:8" x14ac:dyDescent="0.25">
      <c r="D506">
        <f t="shared" si="26"/>
        <v>503</v>
      </c>
      <c r="E506">
        <f t="shared" si="27"/>
        <v>1690</v>
      </c>
      <c r="H506" s="62">
        <f t="shared" si="28"/>
        <v>576</v>
      </c>
    </row>
    <row r="507" spans="4:8" x14ac:dyDescent="0.25">
      <c r="D507">
        <f t="shared" si="26"/>
        <v>504</v>
      </c>
      <c r="E507">
        <f t="shared" si="27"/>
        <v>1740</v>
      </c>
      <c r="H507" s="62">
        <f t="shared" si="28"/>
        <v>562</v>
      </c>
    </row>
    <row r="508" spans="4:8" x14ac:dyDescent="0.25">
      <c r="D508">
        <f t="shared" si="26"/>
        <v>505</v>
      </c>
      <c r="E508">
        <f t="shared" si="27"/>
        <v>1779.9999999999998</v>
      </c>
      <c r="H508" s="62">
        <f t="shared" si="28"/>
        <v>549</v>
      </c>
    </row>
    <row r="509" spans="4:8" x14ac:dyDescent="0.25">
      <c r="D509">
        <f t="shared" si="26"/>
        <v>506</v>
      </c>
      <c r="E509">
        <f t="shared" si="27"/>
        <v>1820</v>
      </c>
      <c r="H509" s="62">
        <f t="shared" si="28"/>
        <v>536</v>
      </c>
    </row>
    <row r="510" spans="4:8" x14ac:dyDescent="0.25">
      <c r="D510">
        <f t="shared" si="26"/>
        <v>507</v>
      </c>
      <c r="E510">
        <f t="shared" si="27"/>
        <v>1870.0000000000002</v>
      </c>
      <c r="H510" s="62">
        <f t="shared" si="28"/>
        <v>523.00000000000023</v>
      </c>
    </row>
    <row r="511" spans="4:8" x14ac:dyDescent="0.25">
      <c r="D511">
        <f t="shared" si="26"/>
        <v>508</v>
      </c>
      <c r="E511">
        <f t="shared" si="27"/>
        <v>1910</v>
      </c>
      <c r="H511" s="62">
        <f t="shared" si="28"/>
        <v>511</v>
      </c>
    </row>
    <row r="512" spans="4:8" x14ac:dyDescent="0.25">
      <c r="D512">
        <f t="shared" si="26"/>
        <v>509</v>
      </c>
      <c r="E512">
        <f t="shared" si="27"/>
        <v>1960</v>
      </c>
      <c r="H512" s="62">
        <f t="shared" si="28"/>
        <v>499</v>
      </c>
    </row>
    <row r="513" spans="4:8" x14ac:dyDescent="0.25">
      <c r="D513">
        <f t="shared" si="26"/>
        <v>510</v>
      </c>
      <c r="E513">
        <f t="shared" si="27"/>
        <v>2000</v>
      </c>
      <c r="H513" s="62">
        <f t="shared" si="28"/>
        <v>487</v>
      </c>
    </row>
    <row r="514" spans="4:8" x14ac:dyDescent="0.25">
      <c r="D514">
        <f t="shared" si="26"/>
        <v>511</v>
      </c>
      <c r="E514">
        <f t="shared" si="27"/>
        <v>2050</v>
      </c>
      <c r="H514" s="62">
        <f t="shared" si="28"/>
        <v>475</v>
      </c>
    </row>
    <row r="515" spans="4:8" x14ac:dyDescent="0.25">
      <c r="D515">
        <f t="shared" si="26"/>
        <v>512</v>
      </c>
      <c r="E515">
        <f t="shared" si="27"/>
        <v>2100</v>
      </c>
      <c r="H515" s="62">
        <f t="shared" si="28"/>
        <v>464</v>
      </c>
    </row>
    <row r="516" spans="4:8" x14ac:dyDescent="0.25">
      <c r="D516">
        <f t="shared" si="26"/>
        <v>513</v>
      </c>
      <c r="E516">
        <f t="shared" si="27"/>
        <v>2160</v>
      </c>
      <c r="H516" s="62">
        <f t="shared" si="28"/>
        <v>453</v>
      </c>
    </row>
    <row r="517" spans="4:8" x14ac:dyDescent="0.25">
      <c r="D517">
        <f t="shared" si="26"/>
        <v>514</v>
      </c>
      <c r="E517">
        <f t="shared" si="27"/>
        <v>2210.0000000000005</v>
      </c>
      <c r="H517" s="62">
        <f t="shared" si="28"/>
        <v>442</v>
      </c>
    </row>
    <row r="518" spans="4:8" x14ac:dyDescent="0.25">
      <c r="D518">
        <f t="shared" ref="D518:D581" si="29">1+D517</f>
        <v>515</v>
      </c>
      <c r="E518">
        <f t="shared" si="27"/>
        <v>2259.9999999999995</v>
      </c>
      <c r="H518" s="62">
        <f t="shared" si="28"/>
        <v>432</v>
      </c>
    </row>
    <row r="519" spans="4:8" x14ac:dyDescent="0.25">
      <c r="D519">
        <f t="shared" si="29"/>
        <v>516</v>
      </c>
      <c r="E519">
        <f t="shared" si="27"/>
        <v>2320</v>
      </c>
      <c r="H519" s="62">
        <f t="shared" si="28"/>
        <v>422</v>
      </c>
    </row>
    <row r="520" spans="4:8" x14ac:dyDescent="0.25">
      <c r="D520">
        <f t="shared" si="29"/>
        <v>517</v>
      </c>
      <c r="E520">
        <f t="shared" si="27"/>
        <v>2370.0000000000005</v>
      </c>
      <c r="H520" s="62">
        <f t="shared" si="28"/>
        <v>412</v>
      </c>
    </row>
    <row r="521" spans="4:8" x14ac:dyDescent="0.25">
      <c r="D521">
        <f t="shared" si="29"/>
        <v>518</v>
      </c>
      <c r="E521">
        <f t="shared" si="27"/>
        <v>2430</v>
      </c>
      <c r="H521" s="62">
        <f t="shared" si="28"/>
        <v>401.99999999999989</v>
      </c>
    </row>
    <row r="522" spans="4:8" x14ac:dyDescent="0.25">
      <c r="D522">
        <f t="shared" si="29"/>
        <v>519</v>
      </c>
      <c r="E522">
        <f t="shared" si="27"/>
        <v>2490.0000000000005</v>
      </c>
      <c r="H522" s="62">
        <f t="shared" si="28"/>
        <v>392</v>
      </c>
    </row>
    <row r="523" spans="4:8" x14ac:dyDescent="0.25">
      <c r="D523">
        <f t="shared" si="29"/>
        <v>520</v>
      </c>
      <c r="E523">
        <f t="shared" si="27"/>
        <v>2550</v>
      </c>
      <c r="H523" s="62">
        <f t="shared" si="28"/>
        <v>383</v>
      </c>
    </row>
    <row r="524" spans="4:8" x14ac:dyDescent="0.25">
      <c r="D524">
        <f t="shared" si="29"/>
        <v>521</v>
      </c>
      <c r="E524">
        <f t="shared" si="27"/>
        <v>2610</v>
      </c>
      <c r="H524" s="62">
        <f t="shared" si="28"/>
        <v>374</v>
      </c>
    </row>
    <row r="525" spans="4:8" x14ac:dyDescent="0.25">
      <c r="D525">
        <f t="shared" si="29"/>
        <v>522</v>
      </c>
      <c r="E525">
        <f t="shared" si="27"/>
        <v>2670</v>
      </c>
      <c r="H525" s="62">
        <f t="shared" si="28"/>
        <v>365</v>
      </c>
    </row>
    <row r="526" spans="4:8" x14ac:dyDescent="0.25">
      <c r="D526">
        <f t="shared" si="29"/>
        <v>523</v>
      </c>
      <c r="E526">
        <f t="shared" si="27"/>
        <v>2740</v>
      </c>
      <c r="H526" s="62">
        <f t="shared" si="28"/>
        <v>357</v>
      </c>
    </row>
    <row r="527" spans="4:8" x14ac:dyDescent="0.25">
      <c r="D527">
        <f t="shared" si="29"/>
        <v>524</v>
      </c>
      <c r="E527">
        <f t="shared" si="27"/>
        <v>2800</v>
      </c>
      <c r="H527" s="62">
        <f t="shared" si="28"/>
        <v>348</v>
      </c>
    </row>
    <row r="528" spans="4:8" x14ac:dyDescent="0.25">
      <c r="D528">
        <f t="shared" si="29"/>
        <v>525</v>
      </c>
      <c r="E528">
        <f t="shared" si="27"/>
        <v>2870</v>
      </c>
      <c r="H528" s="62">
        <f t="shared" si="28"/>
        <v>340</v>
      </c>
    </row>
    <row r="529" spans="4:8" x14ac:dyDescent="0.25">
      <c r="D529">
        <f t="shared" si="29"/>
        <v>526</v>
      </c>
      <c r="E529">
        <f t="shared" si="27"/>
        <v>2940</v>
      </c>
      <c r="H529" s="62">
        <f t="shared" si="28"/>
        <v>332</v>
      </c>
    </row>
    <row r="530" spans="4:8" x14ac:dyDescent="0.25">
      <c r="D530">
        <f t="shared" si="29"/>
        <v>527</v>
      </c>
      <c r="E530">
        <f t="shared" si="27"/>
        <v>3010</v>
      </c>
      <c r="H530" s="62">
        <f t="shared" si="28"/>
        <v>324.00000000000011</v>
      </c>
    </row>
    <row r="531" spans="4:8" x14ac:dyDescent="0.25">
      <c r="D531">
        <f t="shared" si="29"/>
        <v>528</v>
      </c>
      <c r="E531">
        <f t="shared" si="27"/>
        <v>3090</v>
      </c>
      <c r="H531" s="62">
        <f t="shared" si="28"/>
        <v>316</v>
      </c>
    </row>
    <row r="532" spans="4:8" x14ac:dyDescent="0.25">
      <c r="D532">
        <f t="shared" si="29"/>
        <v>529</v>
      </c>
      <c r="E532">
        <f t="shared" si="27"/>
        <v>3160.0000000000005</v>
      </c>
      <c r="H532" s="62">
        <f t="shared" si="28"/>
        <v>309</v>
      </c>
    </row>
    <row r="533" spans="4:8" x14ac:dyDescent="0.25">
      <c r="D533">
        <f t="shared" si="29"/>
        <v>530</v>
      </c>
      <c r="E533">
        <f t="shared" si="27"/>
        <v>3240.0000000000005</v>
      </c>
      <c r="H533" s="62">
        <f t="shared" si="28"/>
        <v>300.99999999999989</v>
      </c>
    </row>
    <row r="534" spans="4:8" x14ac:dyDescent="0.25">
      <c r="D534">
        <f t="shared" si="29"/>
        <v>531</v>
      </c>
      <c r="E534">
        <f t="shared" si="27"/>
        <v>3320</v>
      </c>
      <c r="H534" s="62">
        <f t="shared" si="28"/>
        <v>294</v>
      </c>
    </row>
    <row r="535" spans="4:8" x14ac:dyDescent="0.25">
      <c r="D535">
        <f t="shared" si="29"/>
        <v>532</v>
      </c>
      <c r="E535">
        <f t="shared" si="27"/>
        <v>3400</v>
      </c>
      <c r="H535" s="62">
        <f t="shared" si="28"/>
        <v>287</v>
      </c>
    </row>
    <row r="536" spans="4:8" x14ac:dyDescent="0.25">
      <c r="D536">
        <f t="shared" si="29"/>
        <v>533</v>
      </c>
      <c r="E536">
        <f t="shared" si="27"/>
        <v>3480</v>
      </c>
      <c r="H536" s="62">
        <f t="shared" si="28"/>
        <v>280</v>
      </c>
    </row>
    <row r="537" spans="4:8" x14ac:dyDescent="0.25">
      <c r="D537">
        <f t="shared" si="29"/>
        <v>534</v>
      </c>
      <c r="E537">
        <f t="shared" si="27"/>
        <v>3570</v>
      </c>
      <c r="H537" s="62">
        <f t="shared" si="28"/>
        <v>274.00000000000011</v>
      </c>
    </row>
    <row r="538" spans="4:8" x14ac:dyDescent="0.25">
      <c r="D538">
        <f t="shared" si="29"/>
        <v>535</v>
      </c>
      <c r="E538">
        <f t="shared" si="27"/>
        <v>3650</v>
      </c>
      <c r="H538" s="62">
        <f t="shared" si="28"/>
        <v>267</v>
      </c>
    </row>
    <row r="539" spans="4:8" x14ac:dyDescent="0.25">
      <c r="D539">
        <f t="shared" si="29"/>
        <v>536</v>
      </c>
      <c r="E539">
        <f t="shared" si="27"/>
        <v>3740.0000000000005</v>
      </c>
      <c r="H539" s="62">
        <f t="shared" si="28"/>
        <v>261</v>
      </c>
    </row>
    <row r="540" spans="4:8" x14ac:dyDescent="0.25">
      <c r="D540">
        <f t="shared" si="29"/>
        <v>537</v>
      </c>
      <c r="E540">
        <f t="shared" si="27"/>
        <v>3830</v>
      </c>
      <c r="H540" s="62">
        <f t="shared" si="28"/>
        <v>255</v>
      </c>
    </row>
    <row r="541" spans="4:8" x14ac:dyDescent="0.25">
      <c r="D541">
        <f t="shared" si="29"/>
        <v>538</v>
      </c>
      <c r="E541">
        <f t="shared" si="27"/>
        <v>3920</v>
      </c>
      <c r="H541" s="62">
        <f t="shared" si="28"/>
        <v>249.00000000000009</v>
      </c>
    </row>
    <row r="542" spans="4:8" x14ac:dyDescent="0.25">
      <c r="D542">
        <f t="shared" si="29"/>
        <v>539</v>
      </c>
      <c r="E542">
        <f t="shared" si="27"/>
        <v>4020</v>
      </c>
      <c r="H542" s="62">
        <f t="shared" si="28"/>
        <v>243</v>
      </c>
    </row>
    <row r="543" spans="4:8" x14ac:dyDescent="0.25">
      <c r="D543">
        <f t="shared" si="29"/>
        <v>540</v>
      </c>
      <c r="E543">
        <f t="shared" si="27"/>
        <v>4120</v>
      </c>
      <c r="H543" s="62">
        <f t="shared" si="28"/>
        <v>237</v>
      </c>
    </row>
    <row r="544" spans="4:8" x14ac:dyDescent="0.25">
      <c r="D544">
        <f t="shared" si="29"/>
        <v>541</v>
      </c>
      <c r="E544">
        <f t="shared" si="27"/>
        <v>4220</v>
      </c>
      <c r="H544" s="62">
        <f t="shared" si="28"/>
        <v>232</v>
      </c>
    </row>
    <row r="545" spans="4:8" x14ac:dyDescent="0.25">
      <c r="D545">
        <f t="shared" si="29"/>
        <v>542</v>
      </c>
      <c r="E545">
        <f t="shared" si="27"/>
        <v>4320</v>
      </c>
      <c r="H545" s="62">
        <f t="shared" si="28"/>
        <v>225.99999999999991</v>
      </c>
    </row>
    <row r="546" spans="4:8" x14ac:dyDescent="0.25">
      <c r="D546">
        <f t="shared" si="29"/>
        <v>543</v>
      </c>
      <c r="E546">
        <f t="shared" si="27"/>
        <v>4420.0000000000009</v>
      </c>
      <c r="H546" s="62">
        <f t="shared" si="28"/>
        <v>221</v>
      </c>
    </row>
    <row r="547" spans="4:8" x14ac:dyDescent="0.25">
      <c r="D547">
        <f t="shared" si="29"/>
        <v>544</v>
      </c>
      <c r="E547">
        <f t="shared" si="27"/>
        <v>4530.0000000000009</v>
      </c>
      <c r="H547" s="62">
        <f t="shared" si="28"/>
        <v>216</v>
      </c>
    </row>
    <row r="548" spans="4:8" x14ac:dyDescent="0.25">
      <c r="D548">
        <f t="shared" si="29"/>
        <v>545</v>
      </c>
      <c r="E548">
        <f t="shared" si="27"/>
        <v>4640</v>
      </c>
      <c r="H548" s="62">
        <f t="shared" si="28"/>
        <v>210</v>
      </c>
    </row>
    <row r="549" spans="4:8" x14ac:dyDescent="0.25">
      <c r="D549">
        <f t="shared" si="29"/>
        <v>546</v>
      </c>
      <c r="E549">
        <f t="shared" ref="E549:E612" si="30">10*E453</f>
        <v>4750</v>
      </c>
      <c r="H549" s="62">
        <f t="shared" ref="H549:H612" si="31">H453/10</f>
        <v>205</v>
      </c>
    </row>
    <row r="550" spans="4:8" x14ac:dyDescent="0.25">
      <c r="D550">
        <f t="shared" si="29"/>
        <v>547</v>
      </c>
      <c r="E550">
        <f t="shared" si="30"/>
        <v>4870</v>
      </c>
      <c r="H550" s="62">
        <f t="shared" si="31"/>
        <v>200</v>
      </c>
    </row>
    <row r="551" spans="4:8" x14ac:dyDescent="0.25">
      <c r="D551">
        <f t="shared" si="29"/>
        <v>548</v>
      </c>
      <c r="E551">
        <f t="shared" si="30"/>
        <v>4990.0000000000009</v>
      </c>
      <c r="H551" s="62">
        <f t="shared" si="31"/>
        <v>196</v>
      </c>
    </row>
    <row r="552" spans="4:8" x14ac:dyDescent="0.25">
      <c r="D552">
        <f t="shared" si="29"/>
        <v>549</v>
      </c>
      <c r="E552">
        <f t="shared" si="30"/>
        <v>5110.0000000000009</v>
      </c>
      <c r="H552" s="62">
        <f t="shared" si="31"/>
        <v>191</v>
      </c>
    </row>
    <row r="553" spans="4:8" x14ac:dyDescent="0.25">
      <c r="D553">
        <f t="shared" si="29"/>
        <v>550</v>
      </c>
      <c r="E553">
        <f t="shared" si="30"/>
        <v>5230</v>
      </c>
      <c r="H553" s="62">
        <f t="shared" si="31"/>
        <v>187</v>
      </c>
    </row>
    <row r="554" spans="4:8" x14ac:dyDescent="0.25">
      <c r="D554">
        <f t="shared" si="29"/>
        <v>551</v>
      </c>
      <c r="E554">
        <f t="shared" si="30"/>
        <v>5360</v>
      </c>
      <c r="H554" s="62">
        <f t="shared" si="31"/>
        <v>182</v>
      </c>
    </row>
    <row r="555" spans="4:8" x14ac:dyDescent="0.25">
      <c r="D555">
        <f t="shared" si="29"/>
        <v>552</v>
      </c>
      <c r="E555">
        <f t="shared" si="30"/>
        <v>5490</v>
      </c>
      <c r="H555" s="62">
        <f t="shared" si="31"/>
        <v>178</v>
      </c>
    </row>
    <row r="556" spans="4:8" x14ac:dyDescent="0.25">
      <c r="D556">
        <f t="shared" si="29"/>
        <v>553</v>
      </c>
      <c r="E556">
        <f t="shared" si="30"/>
        <v>5620.0000000000009</v>
      </c>
      <c r="H556" s="62">
        <f t="shared" si="31"/>
        <v>174</v>
      </c>
    </row>
    <row r="557" spans="4:8" x14ac:dyDescent="0.25">
      <c r="D557">
        <f t="shared" si="29"/>
        <v>554</v>
      </c>
      <c r="E557">
        <f t="shared" si="30"/>
        <v>5760</v>
      </c>
      <c r="H557" s="62">
        <f t="shared" si="31"/>
        <v>169</v>
      </c>
    </row>
    <row r="558" spans="4:8" x14ac:dyDescent="0.25">
      <c r="D558">
        <f t="shared" si="29"/>
        <v>555</v>
      </c>
      <c r="E558">
        <f t="shared" si="30"/>
        <v>5900</v>
      </c>
      <c r="H558" s="62">
        <f t="shared" si="31"/>
        <v>165</v>
      </c>
    </row>
    <row r="559" spans="4:8" x14ac:dyDescent="0.25">
      <c r="D559">
        <f t="shared" si="29"/>
        <v>556</v>
      </c>
      <c r="E559">
        <f t="shared" si="30"/>
        <v>6040</v>
      </c>
      <c r="H559" s="62">
        <f t="shared" si="31"/>
        <v>162.00000000000006</v>
      </c>
    </row>
    <row r="560" spans="4:8" x14ac:dyDescent="0.25">
      <c r="D560">
        <f t="shared" si="29"/>
        <v>557</v>
      </c>
      <c r="E560">
        <f t="shared" si="30"/>
        <v>6189.9999999999991</v>
      </c>
      <c r="H560" s="62">
        <f t="shared" si="31"/>
        <v>158</v>
      </c>
    </row>
    <row r="561" spans="4:8" x14ac:dyDescent="0.25">
      <c r="D561">
        <f t="shared" si="29"/>
        <v>558</v>
      </c>
      <c r="E561">
        <f t="shared" si="30"/>
        <v>6340</v>
      </c>
      <c r="H561" s="62">
        <f t="shared" si="31"/>
        <v>154</v>
      </c>
    </row>
    <row r="562" spans="4:8" x14ac:dyDescent="0.25">
      <c r="D562">
        <f t="shared" si="29"/>
        <v>559</v>
      </c>
      <c r="E562">
        <f t="shared" si="30"/>
        <v>6490</v>
      </c>
      <c r="H562" s="62">
        <f t="shared" si="31"/>
        <v>150</v>
      </c>
    </row>
    <row r="563" spans="4:8" x14ac:dyDescent="0.25">
      <c r="D563">
        <f t="shared" si="29"/>
        <v>560</v>
      </c>
      <c r="E563">
        <f t="shared" si="30"/>
        <v>6650</v>
      </c>
      <c r="H563" s="62">
        <f t="shared" si="31"/>
        <v>147</v>
      </c>
    </row>
    <row r="564" spans="4:8" x14ac:dyDescent="0.25">
      <c r="D564">
        <f t="shared" si="29"/>
        <v>561</v>
      </c>
      <c r="E564">
        <f t="shared" si="30"/>
        <v>6810</v>
      </c>
      <c r="H564" s="62">
        <f t="shared" si="31"/>
        <v>143</v>
      </c>
    </row>
    <row r="565" spans="4:8" x14ac:dyDescent="0.25">
      <c r="D565">
        <f t="shared" si="29"/>
        <v>562</v>
      </c>
      <c r="E565">
        <f t="shared" si="30"/>
        <v>6980</v>
      </c>
      <c r="H565" s="62">
        <f t="shared" si="31"/>
        <v>140</v>
      </c>
    </row>
    <row r="566" spans="4:8" x14ac:dyDescent="0.25">
      <c r="D566">
        <f t="shared" si="29"/>
        <v>563</v>
      </c>
      <c r="E566">
        <f t="shared" si="30"/>
        <v>7150</v>
      </c>
      <c r="H566" s="62">
        <f t="shared" si="31"/>
        <v>137.00000000000006</v>
      </c>
    </row>
    <row r="567" spans="4:8" x14ac:dyDescent="0.25">
      <c r="D567">
        <f t="shared" si="29"/>
        <v>564</v>
      </c>
      <c r="E567">
        <f t="shared" si="30"/>
        <v>7320</v>
      </c>
      <c r="H567" s="62">
        <f t="shared" si="31"/>
        <v>133</v>
      </c>
    </row>
    <row r="568" spans="4:8" x14ac:dyDescent="0.25">
      <c r="D568">
        <f t="shared" si="29"/>
        <v>565</v>
      </c>
      <c r="E568">
        <f t="shared" si="30"/>
        <v>7500</v>
      </c>
      <c r="H568" s="62">
        <f t="shared" si="31"/>
        <v>130</v>
      </c>
    </row>
    <row r="569" spans="4:8" x14ac:dyDescent="0.25">
      <c r="D569">
        <f t="shared" si="29"/>
        <v>566</v>
      </c>
      <c r="E569">
        <f t="shared" si="30"/>
        <v>7679.9999999999982</v>
      </c>
      <c r="H569" s="62">
        <f t="shared" si="31"/>
        <v>127</v>
      </c>
    </row>
    <row r="570" spans="4:8" x14ac:dyDescent="0.25">
      <c r="D570">
        <f t="shared" si="29"/>
        <v>567</v>
      </c>
      <c r="E570">
        <f t="shared" si="30"/>
        <v>7870</v>
      </c>
      <c r="H570" s="62">
        <f t="shared" si="31"/>
        <v>124</v>
      </c>
    </row>
    <row r="571" spans="4:8" x14ac:dyDescent="0.25">
      <c r="D571">
        <f t="shared" si="29"/>
        <v>568</v>
      </c>
      <c r="E571">
        <f t="shared" si="30"/>
        <v>8060.0000000000009</v>
      </c>
      <c r="H571" s="62">
        <f t="shared" si="31"/>
        <v>121</v>
      </c>
    </row>
    <row r="572" spans="4:8" x14ac:dyDescent="0.25">
      <c r="D572">
        <f t="shared" si="29"/>
        <v>569</v>
      </c>
      <c r="E572">
        <f t="shared" si="30"/>
        <v>8250</v>
      </c>
      <c r="H572" s="62">
        <f t="shared" si="31"/>
        <v>118</v>
      </c>
    </row>
    <row r="573" spans="4:8" x14ac:dyDescent="0.25">
      <c r="D573">
        <f t="shared" si="29"/>
        <v>570</v>
      </c>
      <c r="E573">
        <f t="shared" si="30"/>
        <v>8450</v>
      </c>
      <c r="H573" s="62">
        <f t="shared" si="31"/>
        <v>115</v>
      </c>
    </row>
    <row r="574" spans="4:8" x14ac:dyDescent="0.25">
      <c r="D574">
        <f t="shared" si="29"/>
        <v>571</v>
      </c>
      <c r="E574">
        <f t="shared" si="30"/>
        <v>8660</v>
      </c>
      <c r="H574" s="62">
        <f t="shared" si="31"/>
        <v>112.99999999999996</v>
      </c>
    </row>
    <row r="575" spans="4:8" x14ac:dyDescent="0.25">
      <c r="D575">
        <f t="shared" si="29"/>
        <v>572</v>
      </c>
      <c r="E575">
        <f t="shared" si="30"/>
        <v>8869.9999999999982</v>
      </c>
      <c r="H575" s="62">
        <f t="shared" si="31"/>
        <v>110</v>
      </c>
    </row>
    <row r="576" spans="4:8" x14ac:dyDescent="0.25">
      <c r="D576">
        <f t="shared" si="29"/>
        <v>573</v>
      </c>
      <c r="E576">
        <f t="shared" si="30"/>
        <v>9090</v>
      </c>
      <c r="H576" s="62">
        <f t="shared" si="31"/>
        <v>107</v>
      </c>
    </row>
    <row r="577" spans="4:8" x14ac:dyDescent="0.25">
      <c r="D577">
        <f t="shared" si="29"/>
        <v>574</v>
      </c>
      <c r="E577">
        <f t="shared" si="30"/>
        <v>9310.0000000000018</v>
      </c>
      <c r="H577" s="62">
        <f t="shared" si="31"/>
        <v>105</v>
      </c>
    </row>
    <row r="578" spans="4:8" x14ac:dyDescent="0.25">
      <c r="D578">
        <f t="shared" si="29"/>
        <v>575</v>
      </c>
      <c r="E578">
        <f t="shared" si="30"/>
        <v>9530</v>
      </c>
      <c r="H578" s="62">
        <f t="shared" si="31"/>
        <v>102</v>
      </c>
    </row>
    <row r="579" spans="4:8" x14ac:dyDescent="0.25">
      <c r="D579">
        <f t="shared" si="29"/>
        <v>576</v>
      </c>
      <c r="E579">
        <f t="shared" si="30"/>
        <v>9760.0000000000018</v>
      </c>
      <c r="H579" s="62">
        <f t="shared" si="31"/>
        <v>100</v>
      </c>
    </row>
    <row r="580" spans="4:8" x14ac:dyDescent="0.25">
      <c r="D580">
        <f t="shared" si="29"/>
        <v>577</v>
      </c>
      <c r="E580">
        <f t="shared" si="30"/>
        <v>10000</v>
      </c>
      <c r="H580" s="62">
        <f t="shared" si="31"/>
        <v>97.6</v>
      </c>
    </row>
    <row r="581" spans="4:8" x14ac:dyDescent="0.25">
      <c r="D581">
        <f t="shared" si="29"/>
        <v>578</v>
      </c>
      <c r="E581">
        <f t="shared" si="30"/>
        <v>10200</v>
      </c>
      <c r="H581" s="62">
        <f t="shared" si="31"/>
        <v>95.3</v>
      </c>
    </row>
    <row r="582" spans="4:8" x14ac:dyDescent="0.25">
      <c r="D582">
        <f t="shared" ref="D582:D645" si="32">1+D581</f>
        <v>579</v>
      </c>
      <c r="E582">
        <f t="shared" si="30"/>
        <v>10500</v>
      </c>
      <c r="H582" s="62">
        <f t="shared" si="31"/>
        <v>93.1</v>
      </c>
    </row>
    <row r="583" spans="4:8" x14ac:dyDescent="0.25">
      <c r="D583">
        <f t="shared" si="32"/>
        <v>580</v>
      </c>
      <c r="E583">
        <f t="shared" si="30"/>
        <v>10700.000000000002</v>
      </c>
      <c r="H583" s="62">
        <f t="shared" si="31"/>
        <v>90.9</v>
      </c>
    </row>
    <row r="584" spans="4:8" x14ac:dyDescent="0.25">
      <c r="D584">
        <f t="shared" si="32"/>
        <v>581</v>
      </c>
      <c r="E584">
        <f t="shared" si="30"/>
        <v>11000</v>
      </c>
      <c r="H584" s="62">
        <f t="shared" si="31"/>
        <v>88.69999999999996</v>
      </c>
    </row>
    <row r="585" spans="4:8" x14ac:dyDescent="0.25">
      <c r="D585">
        <f t="shared" si="32"/>
        <v>582</v>
      </c>
      <c r="E585">
        <f t="shared" si="30"/>
        <v>11299.999999999998</v>
      </c>
      <c r="H585" s="62">
        <f t="shared" si="31"/>
        <v>86.6</v>
      </c>
    </row>
    <row r="586" spans="4:8" x14ac:dyDescent="0.25">
      <c r="D586">
        <f t="shared" si="32"/>
        <v>583</v>
      </c>
      <c r="E586">
        <f t="shared" si="30"/>
        <v>11500</v>
      </c>
      <c r="H586" s="62">
        <f t="shared" si="31"/>
        <v>84.5</v>
      </c>
    </row>
    <row r="587" spans="4:8" x14ac:dyDescent="0.25">
      <c r="D587">
        <f t="shared" si="32"/>
        <v>584</v>
      </c>
      <c r="E587">
        <f t="shared" si="30"/>
        <v>11799.999999999998</v>
      </c>
      <c r="H587" s="62">
        <f t="shared" si="31"/>
        <v>82.5</v>
      </c>
    </row>
    <row r="588" spans="4:8" x14ac:dyDescent="0.25">
      <c r="D588">
        <f t="shared" si="32"/>
        <v>585</v>
      </c>
      <c r="E588">
        <f t="shared" si="30"/>
        <v>12100</v>
      </c>
      <c r="H588" s="62">
        <f t="shared" si="31"/>
        <v>80.599999999999994</v>
      </c>
    </row>
    <row r="589" spans="4:8" x14ac:dyDescent="0.25">
      <c r="D589">
        <f t="shared" si="32"/>
        <v>586</v>
      </c>
      <c r="E589">
        <f t="shared" si="30"/>
        <v>12400</v>
      </c>
      <c r="H589" s="62">
        <f t="shared" si="31"/>
        <v>78.7</v>
      </c>
    </row>
    <row r="590" spans="4:8" x14ac:dyDescent="0.25">
      <c r="D590">
        <f t="shared" si="32"/>
        <v>587</v>
      </c>
      <c r="E590">
        <f t="shared" si="30"/>
        <v>12700</v>
      </c>
      <c r="H590" s="62">
        <f t="shared" si="31"/>
        <v>76.8</v>
      </c>
    </row>
    <row r="591" spans="4:8" x14ac:dyDescent="0.25">
      <c r="D591">
        <f t="shared" si="32"/>
        <v>588</v>
      </c>
      <c r="E591">
        <f t="shared" si="30"/>
        <v>13000</v>
      </c>
      <c r="H591" s="62">
        <f t="shared" si="31"/>
        <v>75</v>
      </c>
    </row>
    <row r="592" spans="4:8" x14ac:dyDescent="0.25">
      <c r="D592">
        <f t="shared" si="32"/>
        <v>589</v>
      </c>
      <c r="E592">
        <f t="shared" si="30"/>
        <v>13300</v>
      </c>
      <c r="H592" s="62">
        <f t="shared" si="31"/>
        <v>73.2</v>
      </c>
    </row>
    <row r="593" spans="4:8" x14ac:dyDescent="0.25">
      <c r="D593">
        <f t="shared" si="32"/>
        <v>590</v>
      </c>
      <c r="E593">
        <f t="shared" si="30"/>
        <v>13700</v>
      </c>
      <c r="H593" s="62">
        <f t="shared" si="31"/>
        <v>71.5</v>
      </c>
    </row>
    <row r="594" spans="4:8" x14ac:dyDescent="0.25">
      <c r="D594">
        <f t="shared" si="32"/>
        <v>591</v>
      </c>
      <c r="E594">
        <f t="shared" si="30"/>
        <v>14000</v>
      </c>
      <c r="H594" s="62">
        <f t="shared" si="31"/>
        <v>69.8</v>
      </c>
    </row>
    <row r="595" spans="4:8" x14ac:dyDescent="0.25">
      <c r="D595">
        <f t="shared" si="32"/>
        <v>592</v>
      </c>
      <c r="E595">
        <f t="shared" si="30"/>
        <v>14300</v>
      </c>
      <c r="H595" s="62">
        <f t="shared" si="31"/>
        <v>68.099999999999994</v>
      </c>
    </row>
    <row r="596" spans="4:8" x14ac:dyDescent="0.25">
      <c r="D596">
        <f t="shared" si="32"/>
        <v>593</v>
      </c>
      <c r="E596">
        <f t="shared" si="30"/>
        <v>14700</v>
      </c>
      <c r="H596" s="62">
        <f t="shared" si="31"/>
        <v>66.5</v>
      </c>
    </row>
    <row r="597" spans="4:8" x14ac:dyDescent="0.25">
      <c r="D597">
        <f t="shared" si="32"/>
        <v>594</v>
      </c>
      <c r="E597">
        <f t="shared" si="30"/>
        <v>15000</v>
      </c>
      <c r="H597" s="62">
        <f t="shared" si="31"/>
        <v>64.900000000000006</v>
      </c>
    </row>
    <row r="598" spans="4:8" x14ac:dyDescent="0.25">
      <c r="D598">
        <f t="shared" si="32"/>
        <v>595</v>
      </c>
      <c r="E598">
        <f t="shared" si="30"/>
        <v>15400</v>
      </c>
      <c r="H598" s="62">
        <f t="shared" si="31"/>
        <v>63.4</v>
      </c>
    </row>
    <row r="599" spans="4:8" x14ac:dyDescent="0.25">
      <c r="D599">
        <f t="shared" si="32"/>
        <v>596</v>
      </c>
      <c r="E599">
        <f t="shared" si="30"/>
        <v>15800.000000000002</v>
      </c>
      <c r="H599" s="62">
        <f t="shared" si="31"/>
        <v>61.90000000000002</v>
      </c>
    </row>
    <row r="600" spans="4:8" x14ac:dyDescent="0.25">
      <c r="D600">
        <f t="shared" si="32"/>
        <v>597</v>
      </c>
      <c r="E600">
        <f t="shared" si="30"/>
        <v>16200.000000000002</v>
      </c>
      <c r="H600" s="62">
        <f t="shared" si="31"/>
        <v>60.4</v>
      </c>
    </row>
    <row r="601" spans="4:8" x14ac:dyDescent="0.25">
      <c r="D601">
        <f t="shared" si="32"/>
        <v>598</v>
      </c>
      <c r="E601">
        <f t="shared" si="30"/>
        <v>16500</v>
      </c>
      <c r="H601" s="62">
        <f t="shared" si="31"/>
        <v>59</v>
      </c>
    </row>
    <row r="602" spans="4:8" x14ac:dyDescent="0.25">
      <c r="D602">
        <f t="shared" si="32"/>
        <v>599</v>
      </c>
      <c r="E602">
        <f t="shared" si="30"/>
        <v>16900</v>
      </c>
      <c r="H602" s="62">
        <f t="shared" si="31"/>
        <v>57.6</v>
      </c>
    </row>
    <row r="603" spans="4:8" x14ac:dyDescent="0.25">
      <c r="D603">
        <f t="shared" si="32"/>
        <v>600</v>
      </c>
      <c r="E603">
        <f t="shared" si="30"/>
        <v>17400</v>
      </c>
      <c r="H603" s="62">
        <f t="shared" si="31"/>
        <v>56.2</v>
      </c>
    </row>
    <row r="604" spans="4:8" x14ac:dyDescent="0.25">
      <c r="D604">
        <f t="shared" si="32"/>
        <v>601</v>
      </c>
      <c r="E604">
        <f t="shared" si="30"/>
        <v>17799.999999999996</v>
      </c>
      <c r="H604" s="62">
        <f t="shared" si="31"/>
        <v>54.9</v>
      </c>
    </row>
    <row r="605" spans="4:8" x14ac:dyDescent="0.25">
      <c r="D605">
        <f t="shared" si="32"/>
        <v>602</v>
      </c>
      <c r="E605">
        <f t="shared" si="30"/>
        <v>18200</v>
      </c>
      <c r="H605" s="62">
        <f t="shared" si="31"/>
        <v>53.6</v>
      </c>
    </row>
    <row r="606" spans="4:8" x14ac:dyDescent="0.25">
      <c r="D606">
        <f t="shared" si="32"/>
        <v>603</v>
      </c>
      <c r="E606">
        <f t="shared" si="30"/>
        <v>18700.000000000004</v>
      </c>
      <c r="H606" s="62">
        <f t="shared" si="31"/>
        <v>52.300000000000026</v>
      </c>
    </row>
    <row r="607" spans="4:8" x14ac:dyDescent="0.25">
      <c r="D607">
        <f t="shared" si="32"/>
        <v>604</v>
      </c>
      <c r="E607">
        <f t="shared" si="30"/>
        <v>19100</v>
      </c>
      <c r="H607" s="62">
        <f t="shared" si="31"/>
        <v>51.1</v>
      </c>
    </row>
    <row r="608" spans="4:8" x14ac:dyDescent="0.25">
      <c r="D608">
        <f t="shared" si="32"/>
        <v>605</v>
      </c>
      <c r="E608">
        <f t="shared" si="30"/>
        <v>19600</v>
      </c>
      <c r="H608" s="62">
        <f t="shared" si="31"/>
        <v>49.9</v>
      </c>
    </row>
    <row r="609" spans="4:8" x14ac:dyDescent="0.25">
      <c r="D609">
        <f t="shared" si="32"/>
        <v>606</v>
      </c>
      <c r="E609">
        <f t="shared" si="30"/>
        <v>20000</v>
      </c>
      <c r="H609" s="62">
        <f t="shared" si="31"/>
        <v>48.7</v>
      </c>
    </row>
    <row r="610" spans="4:8" x14ac:dyDescent="0.25">
      <c r="D610">
        <f t="shared" si="32"/>
        <v>607</v>
      </c>
      <c r="E610">
        <f t="shared" si="30"/>
        <v>20500</v>
      </c>
      <c r="H610" s="62">
        <f t="shared" si="31"/>
        <v>47.5</v>
      </c>
    </row>
    <row r="611" spans="4:8" x14ac:dyDescent="0.25">
      <c r="D611">
        <f t="shared" si="32"/>
        <v>608</v>
      </c>
      <c r="E611">
        <f t="shared" si="30"/>
        <v>21000</v>
      </c>
      <c r="H611" s="62">
        <f t="shared" si="31"/>
        <v>46.4</v>
      </c>
    </row>
    <row r="612" spans="4:8" x14ac:dyDescent="0.25">
      <c r="D612">
        <f t="shared" si="32"/>
        <v>609</v>
      </c>
      <c r="E612">
        <f t="shared" si="30"/>
        <v>21600</v>
      </c>
      <c r="H612" s="62">
        <f t="shared" si="31"/>
        <v>45.3</v>
      </c>
    </row>
    <row r="613" spans="4:8" x14ac:dyDescent="0.25">
      <c r="D613">
        <f t="shared" si="32"/>
        <v>610</v>
      </c>
      <c r="E613">
        <f t="shared" ref="E613:E676" si="33">10*E517</f>
        <v>22100.000000000004</v>
      </c>
      <c r="H613" s="62">
        <f t="shared" ref="H613:H676" si="34">H517/10</f>
        <v>44.2</v>
      </c>
    </row>
    <row r="614" spans="4:8" x14ac:dyDescent="0.25">
      <c r="D614">
        <f t="shared" si="32"/>
        <v>611</v>
      </c>
      <c r="E614">
        <f t="shared" si="33"/>
        <v>22599.999999999996</v>
      </c>
      <c r="H614" s="62">
        <f t="shared" si="34"/>
        <v>43.2</v>
      </c>
    </row>
    <row r="615" spans="4:8" x14ac:dyDescent="0.25">
      <c r="D615">
        <f t="shared" si="32"/>
        <v>612</v>
      </c>
      <c r="E615">
        <f t="shared" si="33"/>
        <v>23200</v>
      </c>
      <c r="H615" s="62">
        <f t="shared" si="34"/>
        <v>42.2</v>
      </c>
    </row>
    <row r="616" spans="4:8" x14ac:dyDescent="0.25">
      <c r="D616">
        <f t="shared" si="32"/>
        <v>613</v>
      </c>
      <c r="E616">
        <f t="shared" si="33"/>
        <v>23700.000000000004</v>
      </c>
      <c r="H616" s="62">
        <f t="shared" si="34"/>
        <v>41.2</v>
      </c>
    </row>
    <row r="617" spans="4:8" x14ac:dyDescent="0.25">
      <c r="D617">
        <f t="shared" si="32"/>
        <v>614</v>
      </c>
      <c r="E617">
        <f t="shared" si="33"/>
        <v>24300</v>
      </c>
      <c r="H617" s="62">
        <f t="shared" si="34"/>
        <v>40.199999999999989</v>
      </c>
    </row>
    <row r="618" spans="4:8" x14ac:dyDescent="0.25">
      <c r="D618">
        <f t="shared" si="32"/>
        <v>615</v>
      </c>
      <c r="E618">
        <f t="shared" si="33"/>
        <v>24900.000000000004</v>
      </c>
      <c r="H618" s="62">
        <f t="shared" si="34"/>
        <v>39.200000000000003</v>
      </c>
    </row>
    <row r="619" spans="4:8" x14ac:dyDescent="0.25">
      <c r="D619">
        <f t="shared" si="32"/>
        <v>616</v>
      </c>
      <c r="E619">
        <f t="shared" si="33"/>
        <v>25500</v>
      </c>
      <c r="H619" s="62">
        <f t="shared" si="34"/>
        <v>38.299999999999997</v>
      </c>
    </row>
    <row r="620" spans="4:8" x14ac:dyDescent="0.25">
      <c r="D620">
        <f t="shared" si="32"/>
        <v>617</v>
      </c>
      <c r="E620">
        <f t="shared" si="33"/>
        <v>26100</v>
      </c>
      <c r="H620" s="62">
        <f t="shared" si="34"/>
        <v>37.4</v>
      </c>
    </row>
    <row r="621" spans="4:8" x14ac:dyDescent="0.25">
      <c r="D621">
        <f t="shared" si="32"/>
        <v>618</v>
      </c>
      <c r="E621">
        <f t="shared" si="33"/>
        <v>26700</v>
      </c>
      <c r="H621" s="62">
        <f t="shared" si="34"/>
        <v>36.5</v>
      </c>
    </row>
    <row r="622" spans="4:8" x14ac:dyDescent="0.25">
      <c r="D622">
        <f t="shared" si="32"/>
        <v>619</v>
      </c>
      <c r="E622">
        <f t="shared" si="33"/>
        <v>27400</v>
      </c>
      <c r="H622" s="62">
        <f t="shared" si="34"/>
        <v>35.700000000000003</v>
      </c>
    </row>
    <row r="623" spans="4:8" x14ac:dyDescent="0.25">
      <c r="D623">
        <f t="shared" si="32"/>
        <v>620</v>
      </c>
      <c r="E623">
        <f t="shared" si="33"/>
        <v>28000</v>
      </c>
      <c r="H623" s="62">
        <f t="shared" si="34"/>
        <v>34.799999999999997</v>
      </c>
    </row>
    <row r="624" spans="4:8" x14ac:dyDescent="0.25">
      <c r="D624">
        <f t="shared" si="32"/>
        <v>621</v>
      </c>
      <c r="E624">
        <f t="shared" si="33"/>
        <v>28700</v>
      </c>
      <c r="H624" s="62">
        <f t="shared" si="34"/>
        <v>34</v>
      </c>
    </row>
    <row r="625" spans="4:8" x14ac:dyDescent="0.25">
      <c r="D625">
        <f t="shared" si="32"/>
        <v>622</v>
      </c>
      <c r="E625">
        <f t="shared" si="33"/>
        <v>29400</v>
      </c>
      <c r="H625" s="62">
        <f t="shared" si="34"/>
        <v>33.200000000000003</v>
      </c>
    </row>
    <row r="626" spans="4:8" x14ac:dyDescent="0.25">
      <c r="D626">
        <f t="shared" si="32"/>
        <v>623</v>
      </c>
      <c r="E626">
        <f t="shared" si="33"/>
        <v>30100</v>
      </c>
      <c r="H626" s="62">
        <f t="shared" si="34"/>
        <v>32.400000000000013</v>
      </c>
    </row>
    <row r="627" spans="4:8" x14ac:dyDescent="0.25">
      <c r="D627">
        <f t="shared" si="32"/>
        <v>624</v>
      </c>
      <c r="E627">
        <f t="shared" si="33"/>
        <v>30900</v>
      </c>
      <c r="H627" s="62">
        <f t="shared" si="34"/>
        <v>31.6</v>
      </c>
    </row>
    <row r="628" spans="4:8" x14ac:dyDescent="0.25">
      <c r="D628">
        <f t="shared" si="32"/>
        <v>625</v>
      </c>
      <c r="E628">
        <f t="shared" si="33"/>
        <v>31600.000000000004</v>
      </c>
      <c r="H628" s="62">
        <f t="shared" si="34"/>
        <v>30.9</v>
      </c>
    </row>
    <row r="629" spans="4:8" x14ac:dyDescent="0.25">
      <c r="D629">
        <f t="shared" si="32"/>
        <v>626</v>
      </c>
      <c r="E629">
        <f t="shared" si="33"/>
        <v>32400.000000000004</v>
      </c>
      <c r="H629" s="62">
        <f t="shared" si="34"/>
        <v>30.099999999999987</v>
      </c>
    </row>
    <row r="630" spans="4:8" x14ac:dyDescent="0.25">
      <c r="D630">
        <f t="shared" si="32"/>
        <v>627</v>
      </c>
      <c r="E630">
        <f t="shared" si="33"/>
        <v>33200</v>
      </c>
      <c r="H630" s="62">
        <f t="shared" si="34"/>
        <v>29.4</v>
      </c>
    </row>
    <row r="631" spans="4:8" x14ac:dyDescent="0.25">
      <c r="D631">
        <f t="shared" si="32"/>
        <v>628</v>
      </c>
      <c r="E631">
        <f t="shared" si="33"/>
        <v>34000</v>
      </c>
      <c r="H631" s="62">
        <f t="shared" si="34"/>
        <v>28.7</v>
      </c>
    </row>
    <row r="632" spans="4:8" x14ac:dyDescent="0.25">
      <c r="D632">
        <f t="shared" si="32"/>
        <v>629</v>
      </c>
      <c r="E632">
        <f t="shared" si="33"/>
        <v>34800</v>
      </c>
      <c r="H632" s="62">
        <f t="shared" si="34"/>
        <v>28</v>
      </c>
    </row>
    <row r="633" spans="4:8" x14ac:dyDescent="0.25">
      <c r="D633">
        <f t="shared" si="32"/>
        <v>630</v>
      </c>
      <c r="E633">
        <f t="shared" si="33"/>
        <v>35700</v>
      </c>
      <c r="H633" s="62">
        <f t="shared" si="34"/>
        <v>27.400000000000013</v>
      </c>
    </row>
    <row r="634" spans="4:8" x14ac:dyDescent="0.25">
      <c r="D634">
        <f t="shared" si="32"/>
        <v>631</v>
      </c>
      <c r="E634">
        <f t="shared" si="33"/>
        <v>36500</v>
      </c>
      <c r="H634" s="62">
        <f t="shared" si="34"/>
        <v>26.7</v>
      </c>
    </row>
    <row r="635" spans="4:8" x14ac:dyDescent="0.25">
      <c r="D635">
        <f t="shared" si="32"/>
        <v>632</v>
      </c>
      <c r="E635">
        <f t="shared" si="33"/>
        <v>37400.000000000007</v>
      </c>
      <c r="H635" s="62">
        <f t="shared" si="34"/>
        <v>26.1</v>
      </c>
    </row>
    <row r="636" spans="4:8" x14ac:dyDescent="0.25">
      <c r="D636">
        <f t="shared" si="32"/>
        <v>633</v>
      </c>
      <c r="E636">
        <f t="shared" si="33"/>
        <v>38300</v>
      </c>
      <c r="H636" s="62">
        <f t="shared" si="34"/>
        <v>25.5</v>
      </c>
    </row>
    <row r="637" spans="4:8" x14ac:dyDescent="0.25">
      <c r="D637">
        <f t="shared" si="32"/>
        <v>634</v>
      </c>
      <c r="E637">
        <f t="shared" si="33"/>
        <v>39200</v>
      </c>
      <c r="H637" s="62">
        <f t="shared" si="34"/>
        <v>24.900000000000009</v>
      </c>
    </row>
    <row r="638" spans="4:8" x14ac:dyDescent="0.25">
      <c r="D638">
        <f t="shared" si="32"/>
        <v>635</v>
      </c>
      <c r="E638">
        <f t="shared" si="33"/>
        <v>40200</v>
      </c>
      <c r="H638" s="62">
        <f t="shared" si="34"/>
        <v>24.3</v>
      </c>
    </row>
    <row r="639" spans="4:8" x14ac:dyDescent="0.25">
      <c r="D639">
        <f t="shared" si="32"/>
        <v>636</v>
      </c>
      <c r="E639">
        <f t="shared" si="33"/>
        <v>41200</v>
      </c>
      <c r="H639" s="62">
        <f t="shared" si="34"/>
        <v>23.7</v>
      </c>
    </row>
    <row r="640" spans="4:8" x14ac:dyDescent="0.25">
      <c r="D640">
        <f t="shared" si="32"/>
        <v>637</v>
      </c>
      <c r="E640">
        <f t="shared" si="33"/>
        <v>42200</v>
      </c>
      <c r="H640" s="62">
        <f t="shared" si="34"/>
        <v>23.2</v>
      </c>
    </row>
    <row r="641" spans="4:8" x14ac:dyDescent="0.25">
      <c r="D641">
        <f t="shared" si="32"/>
        <v>638</v>
      </c>
      <c r="E641">
        <f t="shared" si="33"/>
        <v>43200</v>
      </c>
      <c r="H641" s="62">
        <f t="shared" si="34"/>
        <v>22.599999999999991</v>
      </c>
    </row>
    <row r="642" spans="4:8" x14ac:dyDescent="0.25">
      <c r="D642">
        <f t="shared" si="32"/>
        <v>639</v>
      </c>
      <c r="E642">
        <f t="shared" si="33"/>
        <v>44200.000000000007</v>
      </c>
      <c r="H642" s="62">
        <f t="shared" si="34"/>
        <v>22.1</v>
      </c>
    </row>
    <row r="643" spans="4:8" x14ac:dyDescent="0.25">
      <c r="D643">
        <f t="shared" si="32"/>
        <v>640</v>
      </c>
      <c r="E643">
        <f t="shared" si="33"/>
        <v>45300.000000000007</v>
      </c>
      <c r="H643" s="62">
        <f t="shared" si="34"/>
        <v>21.6</v>
      </c>
    </row>
    <row r="644" spans="4:8" x14ac:dyDescent="0.25">
      <c r="D644">
        <f t="shared" si="32"/>
        <v>641</v>
      </c>
      <c r="E644">
        <f t="shared" si="33"/>
        <v>46400</v>
      </c>
      <c r="H644" s="62">
        <f t="shared" si="34"/>
        <v>21</v>
      </c>
    </row>
    <row r="645" spans="4:8" x14ac:dyDescent="0.25">
      <c r="D645">
        <f t="shared" si="32"/>
        <v>642</v>
      </c>
      <c r="E645">
        <f t="shared" si="33"/>
        <v>47500</v>
      </c>
      <c r="H645" s="62">
        <f t="shared" si="34"/>
        <v>20.5</v>
      </c>
    </row>
    <row r="646" spans="4:8" x14ac:dyDescent="0.25">
      <c r="D646">
        <f t="shared" ref="D646:D709" si="35">1+D645</f>
        <v>643</v>
      </c>
      <c r="E646">
        <f t="shared" si="33"/>
        <v>48700</v>
      </c>
      <c r="H646" s="62">
        <f t="shared" si="34"/>
        <v>20</v>
      </c>
    </row>
    <row r="647" spans="4:8" x14ac:dyDescent="0.25">
      <c r="D647">
        <f t="shared" si="35"/>
        <v>644</v>
      </c>
      <c r="E647">
        <f t="shared" si="33"/>
        <v>49900.000000000007</v>
      </c>
      <c r="H647" s="62">
        <f t="shared" si="34"/>
        <v>19.600000000000001</v>
      </c>
    </row>
    <row r="648" spans="4:8" x14ac:dyDescent="0.25">
      <c r="D648">
        <f t="shared" si="35"/>
        <v>645</v>
      </c>
      <c r="E648">
        <f t="shared" si="33"/>
        <v>51100.000000000007</v>
      </c>
      <c r="H648" s="62">
        <f t="shared" si="34"/>
        <v>19.100000000000001</v>
      </c>
    </row>
    <row r="649" spans="4:8" x14ac:dyDescent="0.25">
      <c r="D649">
        <f t="shared" si="35"/>
        <v>646</v>
      </c>
      <c r="E649">
        <f t="shared" si="33"/>
        <v>52300</v>
      </c>
      <c r="H649" s="62">
        <f t="shared" si="34"/>
        <v>18.7</v>
      </c>
    </row>
    <row r="650" spans="4:8" x14ac:dyDescent="0.25">
      <c r="D650">
        <f t="shared" si="35"/>
        <v>647</v>
      </c>
      <c r="E650">
        <f t="shared" si="33"/>
        <v>53600</v>
      </c>
      <c r="H650" s="62">
        <f t="shared" si="34"/>
        <v>18.2</v>
      </c>
    </row>
    <row r="651" spans="4:8" x14ac:dyDescent="0.25">
      <c r="D651">
        <f t="shared" si="35"/>
        <v>648</v>
      </c>
      <c r="E651">
        <f t="shared" si="33"/>
        <v>54900</v>
      </c>
      <c r="H651" s="62">
        <f t="shared" si="34"/>
        <v>17.8</v>
      </c>
    </row>
    <row r="652" spans="4:8" x14ac:dyDescent="0.25">
      <c r="D652">
        <f t="shared" si="35"/>
        <v>649</v>
      </c>
      <c r="E652">
        <f t="shared" si="33"/>
        <v>56200.000000000007</v>
      </c>
      <c r="H652" s="62">
        <f t="shared" si="34"/>
        <v>17.399999999999999</v>
      </c>
    </row>
    <row r="653" spans="4:8" x14ac:dyDescent="0.25">
      <c r="D653">
        <f t="shared" si="35"/>
        <v>650</v>
      </c>
      <c r="E653">
        <f t="shared" si="33"/>
        <v>57600</v>
      </c>
      <c r="H653" s="62">
        <f t="shared" si="34"/>
        <v>16.899999999999999</v>
      </c>
    </row>
    <row r="654" spans="4:8" x14ac:dyDescent="0.25">
      <c r="D654">
        <f t="shared" si="35"/>
        <v>651</v>
      </c>
      <c r="E654">
        <f t="shared" si="33"/>
        <v>59000</v>
      </c>
      <c r="H654" s="62">
        <f t="shared" si="34"/>
        <v>16.5</v>
      </c>
    </row>
    <row r="655" spans="4:8" x14ac:dyDescent="0.25">
      <c r="D655">
        <f t="shared" si="35"/>
        <v>652</v>
      </c>
      <c r="E655">
        <f t="shared" si="33"/>
        <v>60400</v>
      </c>
      <c r="H655" s="62">
        <f t="shared" si="34"/>
        <v>16.200000000000006</v>
      </c>
    </row>
    <row r="656" spans="4:8" x14ac:dyDescent="0.25">
      <c r="D656">
        <f t="shared" si="35"/>
        <v>653</v>
      </c>
      <c r="E656">
        <f t="shared" si="33"/>
        <v>61899.999999999993</v>
      </c>
      <c r="H656" s="62">
        <f t="shared" si="34"/>
        <v>15.8</v>
      </c>
    </row>
    <row r="657" spans="4:8" x14ac:dyDescent="0.25">
      <c r="D657">
        <f t="shared" si="35"/>
        <v>654</v>
      </c>
      <c r="E657">
        <f t="shared" si="33"/>
        <v>63400</v>
      </c>
      <c r="H657" s="62">
        <f t="shared" si="34"/>
        <v>15.4</v>
      </c>
    </row>
    <row r="658" spans="4:8" x14ac:dyDescent="0.25">
      <c r="D658">
        <f t="shared" si="35"/>
        <v>655</v>
      </c>
      <c r="E658">
        <f t="shared" si="33"/>
        <v>64900</v>
      </c>
      <c r="H658" s="62">
        <f t="shared" si="34"/>
        <v>15</v>
      </c>
    </row>
    <row r="659" spans="4:8" x14ac:dyDescent="0.25">
      <c r="D659">
        <f t="shared" si="35"/>
        <v>656</v>
      </c>
      <c r="E659">
        <f t="shared" si="33"/>
        <v>66500</v>
      </c>
      <c r="H659" s="62">
        <f t="shared" si="34"/>
        <v>14.7</v>
      </c>
    </row>
    <row r="660" spans="4:8" x14ac:dyDescent="0.25">
      <c r="D660">
        <f t="shared" si="35"/>
        <v>657</v>
      </c>
      <c r="E660">
        <f t="shared" si="33"/>
        <v>68100</v>
      </c>
      <c r="H660" s="62">
        <f t="shared" si="34"/>
        <v>14.3</v>
      </c>
    </row>
    <row r="661" spans="4:8" x14ac:dyDescent="0.25">
      <c r="D661">
        <f t="shared" si="35"/>
        <v>658</v>
      </c>
      <c r="E661">
        <f t="shared" si="33"/>
        <v>69800</v>
      </c>
      <c r="H661" s="62">
        <f t="shared" si="34"/>
        <v>14</v>
      </c>
    </row>
    <row r="662" spans="4:8" x14ac:dyDescent="0.25">
      <c r="D662">
        <f t="shared" si="35"/>
        <v>659</v>
      </c>
      <c r="E662">
        <f t="shared" si="33"/>
        <v>71500</v>
      </c>
      <c r="H662" s="62">
        <f t="shared" si="34"/>
        <v>13.700000000000006</v>
      </c>
    </row>
    <row r="663" spans="4:8" x14ac:dyDescent="0.25">
      <c r="D663">
        <f t="shared" si="35"/>
        <v>660</v>
      </c>
      <c r="E663">
        <f t="shared" si="33"/>
        <v>73200</v>
      </c>
      <c r="H663" s="62">
        <f t="shared" si="34"/>
        <v>13.3</v>
      </c>
    </row>
    <row r="664" spans="4:8" x14ac:dyDescent="0.25">
      <c r="D664">
        <f t="shared" si="35"/>
        <v>661</v>
      </c>
      <c r="E664">
        <f t="shared" si="33"/>
        <v>75000</v>
      </c>
      <c r="H664" s="62">
        <f t="shared" si="34"/>
        <v>13</v>
      </c>
    </row>
    <row r="665" spans="4:8" x14ac:dyDescent="0.25">
      <c r="D665">
        <f t="shared" si="35"/>
        <v>662</v>
      </c>
      <c r="E665">
        <f t="shared" si="33"/>
        <v>76799.999999999985</v>
      </c>
      <c r="H665" s="62">
        <f t="shared" si="34"/>
        <v>12.7</v>
      </c>
    </row>
    <row r="666" spans="4:8" x14ac:dyDescent="0.25">
      <c r="D666">
        <f t="shared" si="35"/>
        <v>663</v>
      </c>
      <c r="E666">
        <f t="shared" si="33"/>
        <v>78700</v>
      </c>
      <c r="H666" s="62">
        <f t="shared" si="34"/>
        <v>12.4</v>
      </c>
    </row>
    <row r="667" spans="4:8" x14ac:dyDescent="0.25">
      <c r="D667">
        <f t="shared" si="35"/>
        <v>664</v>
      </c>
      <c r="E667">
        <f t="shared" si="33"/>
        <v>80600.000000000015</v>
      </c>
      <c r="H667" s="62">
        <f t="shared" si="34"/>
        <v>12.1</v>
      </c>
    </row>
    <row r="668" spans="4:8" x14ac:dyDescent="0.25">
      <c r="D668">
        <f t="shared" si="35"/>
        <v>665</v>
      </c>
      <c r="E668">
        <f t="shared" si="33"/>
        <v>82500</v>
      </c>
      <c r="H668" s="62">
        <f t="shared" si="34"/>
        <v>11.8</v>
      </c>
    </row>
    <row r="669" spans="4:8" x14ac:dyDescent="0.25">
      <c r="D669">
        <f t="shared" si="35"/>
        <v>666</v>
      </c>
      <c r="E669">
        <f t="shared" si="33"/>
        <v>84500</v>
      </c>
      <c r="H669" s="62">
        <f t="shared" si="34"/>
        <v>11.5</v>
      </c>
    </row>
    <row r="670" spans="4:8" x14ac:dyDescent="0.25">
      <c r="D670">
        <f t="shared" si="35"/>
        <v>667</v>
      </c>
      <c r="E670">
        <f t="shared" si="33"/>
        <v>86600</v>
      </c>
      <c r="H670" s="62">
        <f t="shared" si="34"/>
        <v>11.299999999999995</v>
      </c>
    </row>
    <row r="671" spans="4:8" x14ac:dyDescent="0.25">
      <c r="D671">
        <f t="shared" si="35"/>
        <v>668</v>
      </c>
      <c r="E671">
        <f t="shared" si="33"/>
        <v>88699.999999999985</v>
      </c>
      <c r="H671" s="62">
        <f t="shared" si="34"/>
        <v>11</v>
      </c>
    </row>
    <row r="672" spans="4:8" x14ac:dyDescent="0.25">
      <c r="D672">
        <f t="shared" si="35"/>
        <v>669</v>
      </c>
      <c r="E672">
        <f t="shared" si="33"/>
        <v>90900</v>
      </c>
      <c r="H672" s="62">
        <f t="shared" si="34"/>
        <v>10.7</v>
      </c>
    </row>
    <row r="673" spans="4:8" x14ac:dyDescent="0.25">
      <c r="D673">
        <f t="shared" si="35"/>
        <v>670</v>
      </c>
      <c r="E673">
        <f t="shared" si="33"/>
        <v>93100.000000000015</v>
      </c>
      <c r="H673" s="62">
        <f t="shared" si="34"/>
        <v>10.5</v>
      </c>
    </row>
    <row r="674" spans="4:8" x14ac:dyDescent="0.25">
      <c r="D674">
        <f t="shared" si="35"/>
        <v>671</v>
      </c>
      <c r="E674">
        <f t="shared" si="33"/>
        <v>95300</v>
      </c>
      <c r="H674" s="62">
        <f t="shared" si="34"/>
        <v>10.199999999999999</v>
      </c>
    </row>
    <row r="675" spans="4:8" x14ac:dyDescent="0.25">
      <c r="D675">
        <f t="shared" si="35"/>
        <v>672</v>
      </c>
      <c r="E675">
        <f t="shared" si="33"/>
        <v>97600.000000000015</v>
      </c>
      <c r="H675" s="62">
        <f t="shared" si="34"/>
        <v>10</v>
      </c>
    </row>
    <row r="676" spans="4:8" x14ac:dyDescent="0.25">
      <c r="D676">
        <f t="shared" si="35"/>
        <v>673</v>
      </c>
      <c r="E676">
        <f t="shared" si="33"/>
        <v>100000</v>
      </c>
      <c r="H676" s="62">
        <f t="shared" si="34"/>
        <v>9.76</v>
      </c>
    </row>
    <row r="677" spans="4:8" x14ac:dyDescent="0.25">
      <c r="D677">
        <f t="shared" si="35"/>
        <v>674</v>
      </c>
      <c r="E677">
        <f t="shared" ref="E677:E695" si="36">10*E581</f>
        <v>102000</v>
      </c>
      <c r="H677" s="62">
        <f t="shared" ref="H677:H740" si="37">H581/10</f>
        <v>9.5299999999999994</v>
      </c>
    </row>
    <row r="678" spans="4:8" x14ac:dyDescent="0.25">
      <c r="D678">
        <f t="shared" si="35"/>
        <v>675</v>
      </c>
      <c r="E678">
        <f t="shared" si="36"/>
        <v>105000</v>
      </c>
      <c r="H678" s="62">
        <f t="shared" si="37"/>
        <v>9.3099999999999987</v>
      </c>
    </row>
    <row r="679" spans="4:8" x14ac:dyDescent="0.25">
      <c r="D679">
        <f t="shared" si="35"/>
        <v>676</v>
      </c>
      <c r="E679">
        <f t="shared" si="36"/>
        <v>107000.00000000001</v>
      </c>
      <c r="H679" s="62">
        <f t="shared" si="37"/>
        <v>9.09</v>
      </c>
    </row>
    <row r="680" spans="4:8" x14ac:dyDescent="0.25">
      <c r="D680">
        <f t="shared" si="35"/>
        <v>677</v>
      </c>
      <c r="E680">
        <f t="shared" si="36"/>
        <v>110000</v>
      </c>
      <c r="H680" s="62">
        <f t="shared" si="37"/>
        <v>8.8699999999999957</v>
      </c>
    </row>
    <row r="681" spans="4:8" x14ac:dyDescent="0.25">
      <c r="D681">
        <f t="shared" si="35"/>
        <v>678</v>
      </c>
      <c r="E681">
        <f t="shared" si="36"/>
        <v>112999.99999999999</v>
      </c>
      <c r="H681" s="62">
        <f t="shared" si="37"/>
        <v>8.66</v>
      </c>
    </row>
    <row r="682" spans="4:8" x14ac:dyDescent="0.25">
      <c r="D682">
        <f t="shared" si="35"/>
        <v>679</v>
      </c>
      <c r="E682">
        <f t="shared" si="36"/>
        <v>115000</v>
      </c>
      <c r="H682" s="62">
        <f t="shared" si="37"/>
        <v>8.4499999999999993</v>
      </c>
    </row>
    <row r="683" spans="4:8" x14ac:dyDescent="0.25">
      <c r="D683">
        <f t="shared" si="35"/>
        <v>680</v>
      </c>
      <c r="E683">
        <f t="shared" si="36"/>
        <v>117999.99999999999</v>
      </c>
      <c r="H683" s="62">
        <f t="shared" si="37"/>
        <v>8.25</v>
      </c>
    </row>
    <row r="684" spans="4:8" x14ac:dyDescent="0.25">
      <c r="D684">
        <f t="shared" si="35"/>
        <v>681</v>
      </c>
      <c r="E684">
        <f t="shared" si="36"/>
        <v>121000</v>
      </c>
      <c r="H684" s="62">
        <f t="shared" si="37"/>
        <v>8.0599999999999987</v>
      </c>
    </row>
    <row r="685" spans="4:8" x14ac:dyDescent="0.25">
      <c r="D685">
        <f t="shared" si="35"/>
        <v>682</v>
      </c>
      <c r="E685">
        <f t="shared" si="36"/>
        <v>124000</v>
      </c>
      <c r="H685" s="62">
        <f t="shared" si="37"/>
        <v>7.87</v>
      </c>
    </row>
    <row r="686" spans="4:8" x14ac:dyDescent="0.25">
      <c r="D686">
        <f t="shared" si="35"/>
        <v>683</v>
      </c>
      <c r="E686">
        <f t="shared" si="36"/>
        <v>127000</v>
      </c>
      <c r="H686" s="62">
        <f t="shared" si="37"/>
        <v>7.68</v>
      </c>
    </row>
    <row r="687" spans="4:8" x14ac:dyDescent="0.25">
      <c r="D687">
        <f t="shared" si="35"/>
        <v>684</v>
      </c>
      <c r="E687">
        <f t="shared" si="36"/>
        <v>130000</v>
      </c>
      <c r="H687" s="62">
        <f t="shared" si="37"/>
        <v>7.5</v>
      </c>
    </row>
    <row r="688" spans="4:8" x14ac:dyDescent="0.25">
      <c r="D688">
        <f t="shared" si="35"/>
        <v>685</v>
      </c>
      <c r="E688">
        <f t="shared" si="36"/>
        <v>133000</v>
      </c>
      <c r="H688" s="62">
        <f t="shared" si="37"/>
        <v>7.32</v>
      </c>
    </row>
    <row r="689" spans="4:8" x14ac:dyDescent="0.25">
      <c r="D689">
        <f t="shared" si="35"/>
        <v>686</v>
      </c>
      <c r="E689">
        <f t="shared" si="36"/>
        <v>137000</v>
      </c>
      <c r="H689" s="62">
        <f t="shared" si="37"/>
        <v>7.15</v>
      </c>
    </row>
    <row r="690" spans="4:8" x14ac:dyDescent="0.25">
      <c r="D690">
        <f t="shared" si="35"/>
        <v>687</v>
      </c>
      <c r="E690">
        <f t="shared" si="36"/>
        <v>140000</v>
      </c>
      <c r="H690" s="62">
        <f t="shared" si="37"/>
        <v>6.9799999999999995</v>
      </c>
    </row>
    <row r="691" spans="4:8" x14ac:dyDescent="0.25">
      <c r="D691">
        <f t="shared" si="35"/>
        <v>688</v>
      </c>
      <c r="E691">
        <f t="shared" si="36"/>
        <v>143000</v>
      </c>
      <c r="H691" s="62">
        <f t="shared" si="37"/>
        <v>6.81</v>
      </c>
    </row>
    <row r="692" spans="4:8" x14ac:dyDescent="0.25">
      <c r="D692">
        <f t="shared" si="35"/>
        <v>689</v>
      </c>
      <c r="E692">
        <f t="shared" si="36"/>
        <v>147000</v>
      </c>
      <c r="H692" s="62">
        <f t="shared" si="37"/>
        <v>6.65</v>
      </c>
    </row>
    <row r="693" spans="4:8" x14ac:dyDescent="0.25">
      <c r="D693">
        <f t="shared" si="35"/>
        <v>690</v>
      </c>
      <c r="E693">
        <f t="shared" si="36"/>
        <v>150000</v>
      </c>
      <c r="H693" s="62">
        <f t="shared" si="37"/>
        <v>6.49</v>
      </c>
    </row>
    <row r="694" spans="4:8" x14ac:dyDescent="0.25">
      <c r="D694">
        <f t="shared" si="35"/>
        <v>691</v>
      </c>
      <c r="E694">
        <f t="shared" si="36"/>
        <v>154000</v>
      </c>
      <c r="H694" s="62">
        <f t="shared" si="37"/>
        <v>6.34</v>
      </c>
    </row>
    <row r="695" spans="4:8" x14ac:dyDescent="0.25">
      <c r="D695">
        <f t="shared" si="35"/>
        <v>692</v>
      </c>
      <c r="E695">
        <f t="shared" si="36"/>
        <v>158000.00000000003</v>
      </c>
      <c r="H695" s="62">
        <f t="shared" si="37"/>
        <v>6.1900000000000022</v>
      </c>
    </row>
    <row r="696" spans="4:8" x14ac:dyDescent="0.25">
      <c r="D696">
        <f t="shared" si="35"/>
        <v>693</v>
      </c>
      <c r="E696">
        <f>10*E600</f>
        <v>162000.00000000003</v>
      </c>
      <c r="H696" s="62">
        <f t="shared" si="37"/>
        <v>6.04</v>
      </c>
    </row>
    <row r="697" spans="4:8" x14ac:dyDescent="0.25">
      <c r="D697">
        <f t="shared" si="35"/>
        <v>694</v>
      </c>
      <c r="E697">
        <f t="shared" ref="E697:E760" si="38">10*E601</f>
        <v>165000</v>
      </c>
      <c r="H697" s="62">
        <f t="shared" si="37"/>
        <v>5.9</v>
      </c>
    </row>
    <row r="698" spans="4:8" x14ac:dyDescent="0.25">
      <c r="D698">
        <f t="shared" si="35"/>
        <v>695</v>
      </c>
      <c r="E698">
        <f t="shared" si="38"/>
        <v>169000</v>
      </c>
      <c r="H698" s="62">
        <f t="shared" si="37"/>
        <v>5.76</v>
      </c>
    </row>
    <row r="699" spans="4:8" x14ac:dyDescent="0.25">
      <c r="D699">
        <f t="shared" si="35"/>
        <v>696</v>
      </c>
      <c r="E699">
        <f t="shared" si="38"/>
        <v>174000</v>
      </c>
      <c r="H699" s="62">
        <f t="shared" si="37"/>
        <v>5.62</v>
      </c>
    </row>
    <row r="700" spans="4:8" x14ac:dyDescent="0.25">
      <c r="D700">
        <f t="shared" si="35"/>
        <v>697</v>
      </c>
      <c r="E700">
        <f t="shared" si="38"/>
        <v>177999.99999999997</v>
      </c>
      <c r="H700" s="62">
        <f t="shared" si="37"/>
        <v>5.49</v>
      </c>
    </row>
    <row r="701" spans="4:8" x14ac:dyDescent="0.25">
      <c r="D701">
        <f t="shared" si="35"/>
        <v>698</v>
      </c>
      <c r="E701">
        <f t="shared" si="38"/>
        <v>182000</v>
      </c>
      <c r="H701" s="62">
        <f t="shared" si="37"/>
        <v>5.36</v>
      </c>
    </row>
    <row r="702" spans="4:8" x14ac:dyDescent="0.25">
      <c r="D702">
        <f t="shared" si="35"/>
        <v>699</v>
      </c>
      <c r="E702">
        <f t="shared" si="38"/>
        <v>187000.00000000003</v>
      </c>
      <c r="H702" s="62">
        <f t="shared" si="37"/>
        <v>5.2300000000000022</v>
      </c>
    </row>
    <row r="703" spans="4:8" x14ac:dyDescent="0.25">
      <c r="D703">
        <f t="shared" si="35"/>
        <v>700</v>
      </c>
      <c r="E703">
        <f t="shared" si="38"/>
        <v>191000</v>
      </c>
      <c r="H703" s="62">
        <f t="shared" si="37"/>
        <v>5.1100000000000003</v>
      </c>
    </row>
    <row r="704" spans="4:8" x14ac:dyDescent="0.25">
      <c r="D704">
        <f t="shared" si="35"/>
        <v>701</v>
      </c>
      <c r="E704">
        <f t="shared" si="38"/>
        <v>196000</v>
      </c>
      <c r="H704" s="62">
        <f t="shared" si="37"/>
        <v>4.99</v>
      </c>
    </row>
    <row r="705" spans="4:8" x14ac:dyDescent="0.25">
      <c r="D705">
        <f t="shared" si="35"/>
        <v>702</v>
      </c>
      <c r="E705">
        <f t="shared" si="38"/>
        <v>200000</v>
      </c>
      <c r="H705" s="62">
        <f t="shared" si="37"/>
        <v>4.87</v>
      </c>
    </row>
    <row r="706" spans="4:8" x14ac:dyDescent="0.25">
      <c r="D706">
        <f t="shared" si="35"/>
        <v>703</v>
      </c>
      <c r="E706">
        <f t="shared" si="38"/>
        <v>205000</v>
      </c>
      <c r="H706" s="62">
        <f t="shared" si="37"/>
        <v>4.75</v>
      </c>
    </row>
    <row r="707" spans="4:8" x14ac:dyDescent="0.25">
      <c r="D707">
        <f t="shared" si="35"/>
        <v>704</v>
      </c>
      <c r="E707">
        <f t="shared" si="38"/>
        <v>210000</v>
      </c>
      <c r="H707" s="62">
        <f t="shared" si="37"/>
        <v>4.6399999999999997</v>
      </c>
    </row>
    <row r="708" spans="4:8" x14ac:dyDescent="0.25">
      <c r="D708">
        <f t="shared" si="35"/>
        <v>705</v>
      </c>
      <c r="E708">
        <f t="shared" si="38"/>
        <v>216000</v>
      </c>
      <c r="H708" s="62">
        <f t="shared" si="37"/>
        <v>4.5299999999999994</v>
      </c>
    </row>
    <row r="709" spans="4:8" x14ac:dyDescent="0.25">
      <c r="D709">
        <f t="shared" si="35"/>
        <v>706</v>
      </c>
      <c r="E709">
        <f t="shared" si="38"/>
        <v>221000.00000000003</v>
      </c>
      <c r="H709" s="62">
        <f t="shared" si="37"/>
        <v>4.42</v>
      </c>
    </row>
    <row r="710" spans="4:8" x14ac:dyDescent="0.25">
      <c r="D710">
        <f t="shared" ref="D710:D773" si="39">1+D709</f>
        <v>707</v>
      </c>
      <c r="E710">
        <f t="shared" si="38"/>
        <v>225999.99999999997</v>
      </c>
      <c r="H710" s="62">
        <f t="shared" si="37"/>
        <v>4.32</v>
      </c>
    </row>
    <row r="711" spans="4:8" x14ac:dyDescent="0.25">
      <c r="D711">
        <f t="shared" si="39"/>
        <v>708</v>
      </c>
      <c r="E711">
        <f t="shared" si="38"/>
        <v>232000</v>
      </c>
      <c r="H711" s="62">
        <f t="shared" si="37"/>
        <v>4.2200000000000006</v>
      </c>
    </row>
    <row r="712" spans="4:8" x14ac:dyDescent="0.25">
      <c r="D712">
        <f t="shared" si="39"/>
        <v>709</v>
      </c>
      <c r="E712">
        <f t="shared" si="38"/>
        <v>237000.00000000003</v>
      </c>
      <c r="H712" s="62">
        <f t="shared" si="37"/>
        <v>4.12</v>
      </c>
    </row>
    <row r="713" spans="4:8" x14ac:dyDescent="0.25">
      <c r="D713">
        <f t="shared" si="39"/>
        <v>710</v>
      </c>
      <c r="E713">
        <f t="shared" si="38"/>
        <v>243000</v>
      </c>
      <c r="H713" s="62">
        <f t="shared" si="37"/>
        <v>4.0199999999999987</v>
      </c>
    </row>
    <row r="714" spans="4:8" x14ac:dyDescent="0.25">
      <c r="D714">
        <f t="shared" si="39"/>
        <v>711</v>
      </c>
      <c r="E714">
        <f t="shared" si="38"/>
        <v>249000.00000000003</v>
      </c>
      <c r="H714" s="62">
        <f t="shared" si="37"/>
        <v>3.9200000000000004</v>
      </c>
    </row>
    <row r="715" spans="4:8" x14ac:dyDescent="0.25">
      <c r="D715">
        <f t="shared" si="39"/>
        <v>712</v>
      </c>
      <c r="E715">
        <f t="shared" si="38"/>
        <v>255000</v>
      </c>
      <c r="H715" s="62">
        <f t="shared" si="37"/>
        <v>3.8299999999999996</v>
      </c>
    </row>
    <row r="716" spans="4:8" x14ac:dyDescent="0.25">
      <c r="D716">
        <f t="shared" si="39"/>
        <v>713</v>
      </c>
      <c r="E716">
        <f t="shared" si="38"/>
        <v>261000</v>
      </c>
      <c r="H716" s="62">
        <f t="shared" si="37"/>
        <v>3.7399999999999998</v>
      </c>
    </row>
    <row r="717" spans="4:8" x14ac:dyDescent="0.25">
      <c r="D717">
        <f t="shared" si="39"/>
        <v>714</v>
      </c>
      <c r="E717">
        <f t="shared" si="38"/>
        <v>267000</v>
      </c>
      <c r="H717" s="62">
        <f t="shared" si="37"/>
        <v>3.65</v>
      </c>
    </row>
    <row r="718" spans="4:8" x14ac:dyDescent="0.25">
      <c r="D718">
        <f t="shared" si="39"/>
        <v>715</v>
      </c>
      <c r="E718">
        <f t="shared" si="38"/>
        <v>274000</v>
      </c>
      <c r="H718" s="62">
        <f t="shared" si="37"/>
        <v>3.5700000000000003</v>
      </c>
    </row>
    <row r="719" spans="4:8" x14ac:dyDescent="0.25">
      <c r="D719">
        <f t="shared" si="39"/>
        <v>716</v>
      </c>
      <c r="E719">
        <f t="shared" si="38"/>
        <v>280000</v>
      </c>
      <c r="H719" s="62">
        <f t="shared" si="37"/>
        <v>3.4799999999999995</v>
      </c>
    </row>
    <row r="720" spans="4:8" x14ac:dyDescent="0.25">
      <c r="D720">
        <f t="shared" si="39"/>
        <v>717</v>
      </c>
      <c r="E720">
        <f t="shared" si="38"/>
        <v>287000</v>
      </c>
      <c r="H720" s="62">
        <f t="shared" si="37"/>
        <v>3.4</v>
      </c>
    </row>
    <row r="721" spans="4:8" x14ac:dyDescent="0.25">
      <c r="D721">
        <f t="shared" si="39"/>
        <v>718</v>
      </c>
      <c r="E721">
        <f t="shared" si="38"/>
        <v>294000</v>
      </c>
      <c r="H721" s="62">
        <f t="shared" si="37"/>
        <v>3.3200000000000003</v>
      </c>
    </row>
    <row r="722" spans="4:8" x14ac:dyDescent="0.25">
      <c r="D722">
        <f t="shared" si="39"/>
        <v>719</v>
      </c>
      <c r="E722">
        <f t="shared" si="38"/>
        <v>301000</v>
      </c>
      <c r="H722" s="62">
        <f t="shared" si="37"/>
        <v>3.2400000000000011</v>
      </c>
    </row>
    <row r="723" spans="4:8" x14ac:dyDescent="0.25">
      <c r="D723">
        <f t="shared" si="39"/>
        <v>720</v>
      </c>
      <c r="E723">
        <f t="shared" si="38"/>
        <v>309000</v>
      </c>
      <c r="H723" s="62">
        <f t="shared" si="37"/>
        <v>3.16</v>
      </c>
    </row>
    <row r="724" spans="4:8" x14ac:dyDescent="0.25">
      <c r="D724">
        <f t="shared" si="39"/>
        <v>721</v>
      </c>
      <c r="E724">
        <f t="shared" si="38"/>
        <v>316000.00000000006</v>
      </c>
      <c r="H724" s="62">
        <f t="shared" si="37"/>
        <v>3.09</v>
      </c>
    </row>
    <row r="725" spans="4:8" x14ac:dyDescent="0.25">
      <c r="D725">
        <f t="shared" si="39"/>
        <v>722</v>
      </c>
      <c r="E725">
        <f t="shared" si="38"/>
        <v>324000.00000000006</v>
      </c>
      <c r="H725" s="62">
        <f t="shared" si="37"/>
        <v>3.0099999999999989</v>
      </c>
    </row>
    <row r="726" spans="4:8" x14ac:dyDescent="0.25">
      <c r="D726">
        <f t="shared" si="39"/>
        <v>723</v>
      </c>
      <c r="E726">
        <f t="shared" si="38"/>
        <v>332000</v>
      </c>
      <c r="H726" s="62">
        <f t="shared" si="37"/>
        <v>2.94</v>
      </c>
    </row>
    <row r="727" spans="4:8" x14ac:dyDescent="0.25">
      <c r="D727">
        <f t="shared" si="39"/>
        <v>724</v>
      </c>
      <c r="E727">
        <f t="shared" si="38"/>
        <v>340000</v>
      </c>
      <c r="H727" s="62">
        <f t="shared" si="37"/>
        <v>2.87</v>
      </c>
    </row>
    <row r="728" spans="4:8" x14ac:dyDescent="0.25">
      <c r="D728">
        <f t="shared" si="39"/>
        <v>725</v>
      </c>
      <c r="E728">
        <f t="shared" si="38"/>
        <v>348000</v>
      </c>
      <c r="H728" s="62">
        <f t="shared" si="37"/>
        <v>2.8</v>
      </c>
    </row>
    <row r="729" spans="4:8" x14ac:dyDescent="0.25">
      <c r="D729">
        <f t="shared" si="39"/>
        <v>726</v>
      </c>
      <c r="E729">
        <f t="shared" si="38"/>
        <v>357000</v>
      </c>
      <c r="H729" s="62">
        <f t="shared" si="37"/>
        <v>2.7400000000000011</v>
      </c>
    </row>
    <row r="730" spans="4:8" x14ac:dyDescent="0.25">
      <c r="D730">
        <f t="shared" si="39"/>
        <v>727</v>
      </c>
      <c r="E730">
        <f t="shared" si="38"/>
        <v>365000</v>
      </c>
      <c r="H730" s="62">
        <f t="shared" si="37"/>
        <v>2.67</v>
      </c>
    </row>
    <row r="731" spans="4:8" x14ac:dyDescent="0.25">
      <c r="D731">
        <f t="shared" si="39"/>
        <v>728</v>
      </c>
      <c r="E731">
        <f t="shared" si="38"/>
        <v>374000.00000000006</v>
      </c>
      <c r="H731" s="62">
        <f t="shared" si="37"/>
        <v>2.6100000000000003</v>
      </c>
    </row>
    <row r="732" spans="4:8" x14ac:dyDescent="0.25">
      <c r="D732">
        <f t="shared" si="39"/>
        <v>729</v>
      </c>
      <c r="E732">
        <f t="shared" si="38"/>
        <v>383000</v>
      </c>
      <c r="H732" s="62">
        <f t="shared" si="37"/>
        <v>2.5499999999999998</v>
      </c>
    </row>
    <row r="733" spans="4:8" x14ac:dyDescent="0.25">
      <c r="D733">
        <f t="shared" si="39"/>
        <v>730</v>
      </c>
      <c r="E733">
        <f t="shared" si="38"/>
        <v>392000</v>
      </c>
      <c r="H733" s="62">
        <f t="shared" si="37"/>
        <v>2.4900000000000011</v>
      </c>
    </row>
    <row r="734" spans="4:8" x14ac:dyDescent="0.25">
      <c r="D734">
        <f t="shared" si="39"/>
        <v>731</v>
      </c>
      <c r="E734">
        <f t="shared" si="38"/>
        <v>402000</v>
      </c>
      <c r="H734" s="62">
        <f t="shared" si="37"/>
        <v>2.4300000000000002</v>
      </c>
    </row>
    <row r="735" spans="4:8" x14ac:dyDescent="0.25">
      <c r="D735">
        <f t="shared" si="39"/>
        <v>732</v>
      </c>
      <c r="E735">
        <f t="shared" si="38"/>
        <v>412000</v>
      </c>
      <c r="H735" s="62">
        <f t="shared" si="37"/>
        <v>2.37</v>
      </c>
    </row>
    <row r="736" spans="4:8" x14ac:dyDescent="0.25">
      <c r="D736">
        <f t="shared" si="39"/>
        <v>733</v>
      </c>
      <c r="E736">
        <f t="shared" si="38"/>
        <v>422000</v>
      </c>
      <c r="H736" s="62">
        <f t="shared" si="37"/>
        <v>2.3199999999999998</v>
      </c>
    </row>
    <row r="737" spans="4:8" x14ac:dyDescent="0.25">
      <c r="D737">
        <f t="shared" si="39"/>
        <v>734</v>
      </c>
      <c r="E737">
        <f t="shared" si="38"/>
        <v>432000</v>
      </c>
      <c r="H737" s="62">
        <f t="shared" si="37"/>
        <v>2.2599999999999989</v>
      </c>
    </row>
    <row r="738" spans="4:8" x14ac:dyDescent="0.25">
      <c r="D738">
        <f t="shared" si="39"/>
        <v>735</v>
      </c>
      <c r="E738">
        <f t="shared" si="38"/>
        <v>442000.00000000006</v>
      </c>
      <c r="H738" s="62">
        <f t="shared" si="37"/>
        <v>2.21</v>
      </c>
    </row>
    <row r="739" spans="4:8" x14ac:dyDescent="0.25">
      <c r="D739">
        <f t="shared" si="39"/>
        <v>736</v>
      </c>
      <c r="E739">
        <f t="shared" si="38"/>
        <v>453000.00000000006</v>
      </c>
      <c r="H739" s="62">
        <f t="shared" si="37"/>
        <v>2.16</v>
      </c>
    </row>
    <row r="740" spans="4:8" x14ac:dyDescent="0.25">
      <c r="D740">
        <f t="shared" si="39"/>
        <v>737</v>
      </c>
      <c r="E740">
        <f t="shared" si="38"/>
        <v>464000</v>
      </c>
      <c r="H740" s="62">
        <f t="shared" si="37"/>
        <v>2.1</v>
      </c>
    </row>
    <row r="741" spans="4:8" x14ac:dyDescent="0.25">
      <c r="D741">
        <f t="shared" si="39"/>
        <v>738</v>
      </c>
      <c r="E741">
        <f t="shared" si="38"/>
        <v>475000</v>
      </c>
      <c r="H741" s="62">
        <f t="shared" ref="H741:H804" si="40">H645/10</f>
        <v>2.0499999999999998</v>
      </c>
    </row>
    <row r="742" spans="4:8" x14ac:dyDescent="0.25">
      <c r="D742">
        <f t="shared" si="39"/>
        <v>739</v>
      </c>
      <c r="E742">
        <f t="shared" si="38"/>
        <v>487000</v>
      </c>
      <c r="H742" s="62">
        <f t="shared" si="40"/>
        <v>2</v>
      </c>
    </row>
    <row r="743" spans="4:8" x14ac:dyDescent="0.25">
      <c r="D743">
        <f t="shared" si="39"/>
        <v>740</v>
      </c>
      <c r="E743">
        <f t="shared" si="38"/>
        <v>499000.00000000006</v>
      </c>
      <c r="H743" s="62">
        <f t="shared" si="40"/>
        <v>1.9600000000000002</v>
      </c>
    </row>
    <row r="744" spans="4:8" x14ac:dyDescent="0.25">
      <c r="D744">
        <f t="shared" si="39"/>
        <v>741</v>
      </c>
      <c r="E744">
        <f t="shared" si="38"/>
        <v>511000.00000000006</v>
      </c>
      <c r="H744" s="62">
        <f t="shared" si="40"/>
        <v>1.9100000000000001</v>
      </c>
    </row>
    <row r="745" spans="4:8" x14ac:dyDescent="0.25">
      <c r="D745">
        <f t="shared" si="39"/>
        <v>742</v>
      </c>
      <c r="E745">
        <f t="shared" si="38"/>
        <v>523000</v>
      </c>
      <c r="H745" s="62">
        <f t="shared" si="40"/>
        <v>1.8699999999999999</v>
      </c>
    </row>
    <row r="746" spans="4:8" x14ac:dyDescent="0.25">
      <c r="D746">
        <f t="shared" si="39"/>
        <v>743</v>
      </c>
      <c r="E746">
        <f t="shared" si="38"/>
        <v>536000</v>
      </c>
      <c r="H746" s="62">
        <f t="shared" si="40"/>
        <v>1.8199999999999998</v>
      </c>
    </row>
    <row r="747" spans="4:8" x14ac:dyDescent="0.25">
      <c r="D747">
        <f t="shared" si="39"/>
        <v>744</v>
      </c>
      <c r="E747">
        <f t="shared" si="38"/>
        <v>549000</v>
      </c>
      <c r="H747" s="62">
        <f t="shared" si="40"/>
        <v>1.78</v>
      </c>
    </row>
    <row r="748" spans="4:8" x14ac:dyDescent="0.25">
      <c r="D748">
        <f t="shared" si="39"/>
        <v>745</v>
      </c>
      <c r="E748">
        <f t="shared" si="38"/>
        <v>562000.00000000012</v>
      </c>
      <c r="H748" s="62">
        <f t="shared" si="40"/>
        <v>1.7399999999999998</v>
      </c>
    </row>
    <row r="749" spans="4:8" x14ac:dyDescent="0.25">
      <c r="D749">
        <f t="shared" si="39"/>
        <v>746</v>
      </c>
      <c r="E749">
        <f t="shared" si="38"/>
        <v>576000</v>
      </c>
      <c r="H749" s="62">
        <f t="shared" si="40"/>
        <v>1.69</v>
      </c>
    </row>
    <row r="750" spans="4:8" x14ac:dyDescent="0.25">
      <c r="D750">
        <f t="shared" si="39"/>
        <v>747</v>
      </c>
      <c r="E750">
        <f t="shared" si="38"/>
        <v>590000</v>
      </c>
      <c r="H750" s="62">
        <f t="shared" si="40"/>
        <v>1.65</v>
      </c>
    </row>
    <row r="751" spans="4:8" x14ac:dyDescent="0.25">
      <c r="D751">
        <f t="shared" si="39"/>
        <v>748</v>
      </c>
      <c r="E751">
        <f t="shared" si="38"/>
        <v>604000</v>
      </c>
      <c r="H751" s="62">
        <f t="shared" si="40"/>
        <v>1.6200000000000006</v>
      </c>
    </row>
    <row r="752" spans="4:8" x14ac:dyDescent="0.25">
      <c r="D752">
        <f t="shared" si="39"/>
        <v>749</v>
      </c>
      <c r="E752">
        <f t="shared" si="38"/>
        <v>618999.99999999988</v>
      </c>
      <c r="H752" s="62">
        <f t="shared" si="40"/>
        <v>1.58</v>
      </c>
    </row>
    <row r="753" spans="4:8" x14ac:dyDescent="0.25">
      <c r="D753">
        <f t="shared" si="39"/>
        <v>750</v>
      </c>
      <c r="E753">
        <f t="shared" si="38"/>
        <v>634000</v>
      </c>
      <c r="H753" s="62">
        <f t="shared" si="40"/>
        <v>1.54</v>
      </c>
    </row>
    <row r="754" spans="4:8" x14ac:dyDescent="0.25">
      <c r="D754">
        <f t="shared" si="39"/>
        <v>751</v>
      </c>
      <c r="E754">
        <f t="shared" si="38"/>
        <v>649000</v>
      </c>
      <c r="H754" s="62">
        <f t="shared" si="40"/>
        <v>1.5</v>
      </c>
    </row>
    <row r="755" spans="4:8" x14ac:dyDescent="0.25">
      <c r="D755">
        <f t="shared" si="39"/>
        <v>752</v>
      </c>
      <c r="E755">
        <f t="shared" si="38"/>
        <v>665000</v>
      </c>
      <c r="H755" s="62">
        <f t="shared" si="40"/>
        <v>1.47</v>
      </c>
    </row>
    <row r="756" spans="4:8" x14ac:dyDescent="0.25">
      <c r="D756">
        <f t="shared" si="39"/>
        <v>753</v>
      </c>
      <c r="E756">
        <f t="shared" si="38"/>
        <v>681000</v>
      </c>
      <c r="H756" s="62">
        <f t="shared" si="40"/>
        <v>1.4300000000000002</v>
      </c>
    </row>
    <row r="757" spans="4:8" x14ac:dyDescent="0.25">
      <c r="D757">
        <f t="shared" si="39"/>
        <v>754</v>
      </c>
      <c r="E757">
        <f t="shared" si="38"/>
        <v>698000</v>
      </c>
      <c r="H757" s="62">
        <f t="shared" si="40"/>
        <v>1.4</v>
      </c>
    </row>
    <row r="758" spans="4:8" x14ac:dyDescent="0.25">
      <c r="D758">
        <f t="shared" si="39"/>
        <v>755</v>
      </c>
      <c r="E758">
        <f t="shared" si="38"/>
        <v>715000</v>
      </c>
      <c r="H758" s="62">
        <f t="shared" si="40"/>
        <v>1.3700000000000006</v>
      </c>
    </row>
    <row r="759" spans="4:8" x14ac:dyDescent="0.25">
      <c r="D759">
        <f t="shared" si="39"/>
        <v>756</v>
      </c>
      <c r="E759">
        <f t="shared" si="38"/>
        <v>732000</v>
      </c>
      <c r="H759" s="62">
        <f t="shared" si="40"/>
        <v>1.33</v>
      </c>
    </row>
    <row r="760" spans="4:8" x14ac:dyDescent="0.25">
      <c r="D760">
        <f t="shared" si="39"/>
        <v>757</v>
      </c>
      <c r="E760">
        <f t="shared" si="38"/>
        <v>750000</v>
      </c>
      <c r="H760" s="62">
        <f t="shared" si="40"/>
        <v>1.3</v>
      </c>
    </row>
    <row r="761" spans="4:8" x14ac:dyDescent="0.25">
      <c r="D761">
        <f t="shared" si="39"/>
        <v>758</v>
      </c>
      <c r="E761">
        <f t="shared" ref="E761:E824" si="41">10*E665</f>
        <v>767999.99999999988</v>
      </c>
      <c r="H761" s="62">
        <f t="shared" si="40"/>
        <v>1.27</v>
      </c>
    </row>
    <row r="762" spans="4:8" x14ac:dyDescent="0.25">
      <c r="D762">
        <f t="shared" si="39"/>
        <v>759</v>
      </c>
      <c r="E762">
        <f t="shared" si="41"/>
        <v>787000</v>
      </c>
      <c r="H762" s="62">
        <f t="shared" si="40"/>
        <v>1.24</v>
      </c>
    </row>
    <row r="763" spans="4:8" x14ac:dyDescent="0.25">
      <c r="D763">
        <f t="shared" si="39"/>
        <v>760</v>
      </c>
      <c r="E763">
        <f t="shared" si="41"/>
        <v>806000.00000000012</v>
      </c>
      <c r="H763" s="62">
        <f t="shared" si="40"/>
        <v>1.21</v>
      </c>
    </row>
    <row r="764" spans="4:8" x14ac:dyDescent="0.25">
      <c r="D764">
        <f t="shared" si="39"/>
        <v>761</v>
      </c>
      <c r="E764">
        <f t="shared" si="41"/>
        <v>825000</v>
      </c>
      <c r="H764" s="62">
        <f t="shared" si="40"/>
        <v>1.1800000000000002</v>
      </c>
    </row>
    <row r="765" spans="4:8" x14ac:dyDescent="0.25">
      <c r="D765">
        <f t="shared" si="39"/>
        <v>762</v>
      </c>
      <c r="E765">
        <f t="shared" si="41"/>
        <v>845000</v>
      </c>
      <c r="H765" s="62">
        <f t="shared" si="40"/>
        <v>1.1499999999999999</v>
      </c>
    </row>
    <row r="766" spans="4:8" x14ac:dyDescent="0.25">
      <c r="D766">
        <f t="shared" si="39"/>
        <v>763</v>
      </c>
      <c r="E766">
        <f t="shared" si="41"/>
        <v>866000</v>
      </c>
      <c r="H766" s="62">
        <f t="shared" si="40"/>
        <v>1.1299999999999994</v>
      </c>
    </row>
    <row r="767" spans="4:8" x14ac:dyDescent="0.25">
      <c r="D767">
        <f t="shared" si="39"/>
        <v>764</v>
      </c>
      <c r="E767">
        <f t="shared" si="41"/>
        <v>886999.99999999988</v>
      </c>
      <c r="H767" s="62">
        <f t="shared" si="40"/>
        <v>1.1000000000000001</v>
      </c>
    </row>
    <row r="768" spans="4:8" x14ac:dyDescent="0.25">
      <c r="D768">
        <f t="shared" si="39"/>
        <v>765</v>
      </c>
      <c r="E768">
        <f t="shared" si="41"/>
        <v>909000</v>
      </c>
      <c r="H768" s="62">
        <f t="shared" si="40"/>
        <v>1.0699999999999998</v>
      </c>
    </row>
    <row r="769" spans="4:8" x14ac:dyDescent="0.25">
      <c r="D769">
        <f t="shared" si="39"/>
        <v>766</v>
      </c>
      <c r="E769">
        <f t="shared" si="41"/>
        <v>931000.00000000012</v>
      </c>
      <c r="H769" s="62">
        <f t="shared" si="40"/>
        <v>1.05</v>
      </c>
    </row>
    <row r="770" spans="4:8" x14ac:dyDescent="0.25">
      <c r="D770">
        <f t="shared" si="39"/>
        <v>767</v>
      </c>
      <c r="E770">
        <f t="shared" si="41"/>
        <v>953000</v>
      </c>
      <c r="H770" s="62">
        <f t="shared" si="40"/>
        <v>1.02</v>
      </c>
    </row>
    <row r="771" spans="4:8" x14ac:dyDescent="0.25">
      <c r="D771">
        <f t="shared" si="39"/>
        <v>768</v>
      </c>
      <c r="E771">
        <f t="shared" si="41"/>
        <v>976000.00000000012</v>
      </c>
      <c r="H771" s="62">
        <f t="shared" si="40"/>
        <v>1</v>
      </c>
    </row>
    <row r="772" spans="4:8" x14ac:dyDescent="0.25">
      <c r="D772">
        <f t="shared" si="39"/>
        <v>769</v>
      </c>
      <c r="E772">
        <f t="shared" si="41"/>
        <v>1000000</v>
      </c>
      <c r="H772" s="62">
        <f t="shared" si="40"/>
        <v>0.97599999999999998</v>
      </c>
    </row>
    <row r="773" spans="4:8" x14ac:dyDescent="0.25">
      <c r="D773">
        <f t="shared" si="39"/>
        <v>770</v>
      </c>
      <c r="E773">
        <f t="shared" si="41"/>
        <v>1020000</v>
      </c>
      <c r="H773" s="62">
        <f t="shared" si="40"/>
        <v>0.95299999999999996</v>
      </c>
    </row>
    <row r="774" spans="4:8" x14ac:dyDescent="0.25">
      <c r="D774">
        <f t="shared" ref="D774:D837" si="42">1+D773</f>
        <v>771</v>
      </c>
      <c r="E774">
        <f t="shared" si="41"/>
        <v>1050000</v>
      </c>
      <c r="H774" s="62">
        <f t="shared" si="40"/>
        <v>0.93099999999999983</v>
      </c>
    </row>
    <row r="775" spans="4:8" x14ac:dyDescent="0.25">
      <c r="D775">
        <f t="shared" si="42"/>
        <v>772</v>
      </c>
      <c r="E775">
        <f t="shared" si="41"/>
        <v>1070000.0000000002</v>
      </c>
      <c r="H775" s="62">
        <f t="shared" si="40"/>
        <v>0.90900000000000003</v>
      </c>
    </row>
    <row r="776" spans="4:8" x14ac:dyDescent="0.25">
      <c r="D776">
        <f t="shared" si="42"/>
        <v>773</v>
      </c>
      <c r="E776">
        <f t="shared" si="41"/>
        <v>1100000</v>
      </c>
      <c r="H776" s="62">
        <f t="shared" si="40"/>
        <v>0.88699999999999957</v>
      </c>
    </row>
    <row r="777" spans="4:8" x14ac:dyDescent="0.25">
      <c r="D777">
        <f t="shared" si="42"/>
        <v>774</v>
      </c>
      <c r="E777">
        <f t="shared" si="41"/>
        <v>1129999.9999999998</v>
      </c>
      <c r="H777" s="62">
        <f t="shared" si="40"/>
        <v>0.86599999999999999</v>
      </c>
    </row>
    <row r="778" spans="4:8" x14ac:dyDescent="0.25">
      <c r="D778">
        <f t="shared" si="42"/>
        <v>775</v>
      </c>
      <c r="E778">
        <f t="shared" si="41"/>
        <v>1150000</v>
      </c>
      <c r="H778" s="62">
        <f t="shared" si="40"/>
        <v>0.84499999999999997</v>
      </c>
    </row>
    <row r="779" spans="4:8" x14ac:dyDescent="0.25">
      <c r="D779">
        <f t="shared" si="42"/>
        <v>776</v>
      </c>
      <c r="E779">
        <f t="shared" si="41"/>
        <v>1179999.9999999998</v>
      </c>
      <c r="H779" s="62">
        <f t="shared" si="40"/>
        <v>0.82499999999999996</v>
      </c>
    </row>
    <row r="780" spans="4:8" x14ac:dyDescent="0.25">
      <c r="D780">
        <f t="shared" si="42"/>
        <v>777</v>
      </c>
      <c r="E780">
        <f t="shared" si="41"/>
        <v>1210000</v>
      </c>
      <c r="H780" s="62">
        <f t="shared" si="40"/>
        <v>0.80599999999999983</v>
      </c>
    </row>
    <row r="781" spans="4:8" x14ac:dyDescent="0.25">
      <c r="D781">
        <f t="shared" si="42"/>
        <v>778</v>
      </c>
      <c r="E781">
        <f t="shared" si="41"/>
        <v>1240000</v>
      </c>
      <c r="H781" s="62">
        <f t="shared" si="40"/>
        <v>0.78700000000000003</v>
      </c>
    </row>
    <row r="782" spans="4:8" x14ac:dyDescent="0.25">
      <c r="D782">
        <f t="shared" si="42"/>
        <v>779</v>
      </c>
      <c r="E782">
        <f t="shared" si="41"/>
        <v>1270000</v>
      </c>
      <c r="H782" s="62">
        <f t="shared" si="40"/>
        <v>0.76800000000000002</v>
      </c>
    </row>
    <row r="783" spans="4:8" x14ac:dyDescent="0.25">
      <c r="D783">
        <f t="shared" si="42"/>
        <v>780</v>
      </c>
      <c r="E783">
        <f t="shared" si="41"/>
        <v>1300000</v>
      </c>
      <c r="H783" s="62">
        <f t="shared" si="40"/>
        <v>0.75</v>
      </c>
    </row>
    <row r="784" spans="4:8" x14ac:dyDescent="0.25">
      <c r="D784">
        <f t="shared" si="42"/>
        <v>781</v>
      </c>
      <c r="E784">
        <f t="shared" si="41"/>
        <v>1330000</v>
      </c>
      <c r="H784" s="62">
        <f t="shared" si="40"/>
        <v>0.73199999999999998</v>
      </c>
    </row>
    <row r="785" spans="4:8" x14ac:dyDescent="0.25">
      <c r="D785">
        <f t="shared" si="42"/>
        <v>782</v>
      </c>
      <c r="E785">
        <f t="shared" si="41"/>
        <v>1370000</v>
      </c>
      <c r="H785" s="62">
        <f t="shared" si="40"/>
        <v>0.71500000000000008</v>
      </c>
    </row>
    <row r="786" spans="4:8" x14ac:dyDescent="0.25">
      <c r="D786">
        <f t="shared" si="42"/>
        <v>783</v>
      </c>
      <c r="E786">
        <f t="shared" si="41"/>
        <v>1400000</v>
      </c>
      <c r="H786" s="62">
        <f t="shared" si="40"/>
        <v>0.69799999999999995</v>
      </c>
    </row>
    <row r="787" spans="4:8" x14ac:dyDescent="0.25">
      <c r="D787">
        <f t="shared" si="42"/>
        <v>784</v>
      </c>
      <c r="E787">
        <f t="shared" si="41"/>
        <v>1430000</v>
      </c>
      <c r="H787" s="62">
        <f t="shared" si="40"/>
        <v>0.68099999999999994</v>
      </c>
    </row>
    <row r="788" spans="4:8" x14ac:dyDescent="0.25">
      <c r="D788">
        <f t="shared" si="42"/>
        <v>785</v>
      </c>
      <c r="E788">
        <f t="shared" si="41"/>
        <v>1470000</v>
      </c>
      <c r="H788" s="62">
        <f t="shared" si="40"/>
        <v>0.66500000000000004</v>
      </c>
    </row>
    <row r="789" spans="4:8" x14ac:dyDescent="0.25">
      <c r="D789">
        <f t="shared" si="42"/>
        <v>786</v>
      </c>
      <c r="E789">
        <f t="shared" si="41"/>
        <v>1500000</v>
      </c>
      <c r="H789" s="62">
        <f t="shared" si="40"/>
        <v>0.64900000000000002</v>
      </c>
    </row>
    <row r="790" spans="4:8" x14ac:dyDescent="0.25">
      <c r="D790">
        <f t="shared" si="42"/>
        <v>787</v>
      </c>
      <c r="E790">
        <f t="shared" si="41"/>
        <v>1540000</v>
      </c>
      <c r="H790" s="62">
        <f t="shared" si="40"/>
        <v>0.63400000000000001</v>
      </c>
    </row>
    <row r="791" spans="4:8" x14ac:dyDescent="0.25">
      <c r="D791">
        <f t="shared" si="42"/>
        <v>788</v>
      </c>
      <c r="E791">
        <f t="shared" si="41"/>
        <v>1580000.0000000002</v>
      </c>
      <c r="H791" s="62">
        <f t="shared" si="40"/>
        <v>0.61900000000000022</v>
      </c>
    </row>
    <row r="792" spans="4:8" x14ac:dyDescent="0.25">
      <c r="D792">
        <f t="shared" si="42"/>
        <v>789</v>
      </c>
      <c r="E792">
        <f t="shared" si="41"/>
        <v>1620000.0000000002</v>
      </c>
      <c r="H792" s="62">
        <f t="shared" si="40"/>
        <v>0.60399999999999998</v>
      </c>
    </row>
    <row r="793" spans="4:8" x14ac:dyDescent="0.25">
      <c r="D793">
        <f t="shared" si="42"/>
        <v>790</v>
      </c>
      <c r="E793">
        <f t="shared" si="41"/>
        <v>1650000</v>
      </c>
      <c r="H793" s="62">
        <f t="shared" si="40"/>
        <v>0.59000000000000008</v>
      </c>
    </row>
    <row r="794" spans="4:8" x14ac:dyDescent="0.25">
      <c r="D794">
        <f t="shared" si="42"/>
        <v>791</v>
      </c>
      <c r="E794">
        <f t="shared" si="41"/>
        <v>1690000</v>
      </c>
      <c r="H794" s="62">
        <f t="shared" si="40"/>
        <v>0.57599999999999996</v>
      </c>
    </row>
    <row r="795" spans="4:8" x14ac:dyDescent="0.25">
      <c r="D795">
        <f t="shared" si="42"/>
        <v>792</v>
      </c>
      <c r="E795">
        <f t="shared" si="41"/>
        <v>1740000</v>
      </c>
      <c r="H795" s="62">
        <f t="shared" si="40"/>
        <v>0.56200000000000006</v>
      </c>
    </row>
    <row r="796" spans="4:8" x14ac:dyDescent="0.25">
      <c r="D796">
        <f t="shared" si="42"/>
        <v>793</v>
      </c>
      <c r="E796">
        <f t="shared" si="41"/>
        <v>1779999.9999999998</v>
      </c>
      <c r="H796" s="62">
        <f t="shared" si="40"/>
        <v>0.54900000000000004</v>
      </c>
    </row>
    <row r="797" spans="4:8" x14ac:dyDescent="0.25">
      <c r="D797">
        <f t="shared" si="42"/>
        <v>794</v>
      </c>
      <c r="E797">
        <f t="shared" si="41"/>
        <v>1820000</v>
      </c>
      <c r="H797" s="62">
        <f t="shared" si="40"/>
        <v>0.53600000000000003</v>
      </c>
    </row>
    <row r="798" spans="4:8" x14ac:dyDescent="0.25">
      <c r="D798">
        <f t="shared" si="42"/>
        <v>795</v>
      </c>
      <c r="E798">
        <f t="shared" si="41"/>
        <v>1870000.0000000002</v>
      </c>
      <c r="H798" s="62">
        <f t="shared" si="40"/>
        <v>0.52300000000000024</v>
      </c>
    </row>
    <row r="799" spans="4:8" x14ac:dyDescent="0.25">
      <c r="D799">
        <f t="shared" si="42"/>
        <v>796</v>
      </c>
      <c r="E799">
        <f t="shared" si="41"/>
        <v>1910000</v>
      </c>
      <c r="H799" s="62">
        <f t="shared" si="40"/>
        <v>0.51100000000000001</v>
      </c>
    </row>
    <row r="800" spans="4:8" x14ac:dyDescent="0.25">
      <c r="D800">
        <f t="shared" si="42"/>
        <v>797</v>
      </c>
      <c r="E800">
        <f t="shared" si="41"/>
        <v>1960000</v>
      </c>
      <c r="H800" s="62">
        <f t="shared" si="40"/>
        <v>0.499</v>
      </c>
    </row>
    <row r="801" spans="4:8" x14ac:dyDescent="0.25">
      <c r="D801">
        <f t="shared" si="42"/>
        <v>798</v>
      </c>
      <c r="E801">
        <f t="shared" si="41"/>
        <v>2000000</v>
      </c>
      <c r="H801" s="62">
        <f t="shared" si="40"/>
        <v>0.48699999999999999</v>
      </c>
    </row>
    <row r="802" spans="4:8" x14ac:dyDescent="0.25">
      <c r="D802">
        <f t="shared" si="42"/>
        <v>799</v>
      </c>
      <c r="E802">
        <f t="shared" si="41"/>
        <v>2050000</v>
      </c>
      <c r="H802" s="62">
        <f t="shared" si="40"/>
        <v>0.47499999999999998</v>
      </c>
    </row>
    <row r="803" spans="4:8" x14ac:dyDescent="0.25">
      <c r="D803">
        <f t="shared" si="42"/>
        <v>800</v>
      </c>
      <c r="E803">
        <f t="shared" si="41"/>
        <v>2100000</v>
      </c>
      <c r="H803" s="62">
        <f t="shared" si="40"/>
        <v>0.46399999999999997</v>
      </c>
    </row>
    <row r="804" spans="4:8" x14ac:dyDescent="0.25">
      <c r="D804">
        <f t="shared" si="42"/>
        <v>801</v>
      </c>
      <c r="E804">
        <f t="shared" si="41"/>
        <v>2160000</v>
      </c>
      <c r="H804" s="62">
        <f t="shared" si="40"/>
        <v>0.45299999999999996</v>
      </c>
    </row>
    <row r="805" spans="4:8" x14ac:dyDescent="0.25">
      <c r="D805">
        <f t="shared" si="42"/>
        <v>802</v>
      </c>
      <c r="E805">
        <f t="shared" si="41"/>
        <v>2210000.0000000005</v>
      </c>
      <c r="H805" s="62">
        <f t="shared" ref="H805:H868" si="43">H709/10</f>
        <v>0.442</v>
      </c>
    </row>
    <row r="806" spans="4:8" x14ac:dyDescent="0.25">
      <c r="D806">
        <f t="shared" si="42"/>
        <v>803</v>
      </c>
      <c r="E806">
        <f t="shared" si="41"/>
        <v>2259999.9999999995</v>
      </c>
      <c r="H806" s="62">
        <f t="shared" si="43"/>
        <v>0.43200000000000005</v>
      </c>
    </row>
    <row r="807" spans="4:8" x14ac:dyDescent="0.25">
      <c r="D807">
        <f t="shared" si="42"/>
        <v>804</v>
      </c>
      <c r="E807">
        <f t="shared" si="41"/>
        <v>2320000</v>
      </c>
      <c r="H807" s="62">
        <f t="shared" si="43"/>
        <v>0.42200000000000004</v>
      </c>
    </row>
    <row r="808" spans="4:8" x14ac:dyDescent="0.25">
      <c r="D808">
        <f t="shared" si="42"/>
        <v>805</v>
      </c>
      <c r="E808">
        <f t="shared" si="41"/>
        <v>2370000.0000000005</v>
      </c>
      <c r="H808" s="62">
        <f t="shared" si="43"/>
        <v>0.41200000000000003</v>
      </c>
    </row>
    <row r="809" spans="4:8" x14ac:dyDescent="0.25">
      <c r="D809">
        <f t="shared" si="42"/>
        <v>806</v>
      </c>
      <c r="E809">
        <f t="shared" si="41"/>
        <v>2430000</v>
      </c>
      <c r="H809" s="62">
        <f t="shared" si="43"/>
        <v>0.40199999999999986</v>
      </c>
    </row>
    <row r="810" spans="4:8" x14ac:dyDescent="0.25">
      <c r="D810">
        <f t="shared" si="42"/>
        <v>807</v>
      </c>
      <c r="E810">
        <f t="shared" si="41"/>
        <v>2490000.0000000005</v>
      </c>
      <c r="H810" s="62">
        <f t="shared" si="43"/>
        <v>0.39200000000000002</v>
      </c>
    </row>
    <row r="811" spans="4:8" x14ac:dyDescent="0.25">
      <c r="D811">
        <f t="shared" si="42"/>
        <v>808</v>
      </c>
      <c r="E811">
        <f t="shared" si="41"/>
        <v>2550000</v>
      </c>
      <c r="H811" s="62">
        <f t="shared" si="43"/>
        <v>0.38299999999999995</v>
      </c>
    </row>
    <row r="812" spans="4:8" x14ac:dyDescent="0.25">
      <c r="D812">
        <f t="shared" si="42"/>
        <v>809</v>
      </c>
      <c r="E812">
        <f t="shared" si="41"/>
        <v>2610000</v>
      </c>
      <c r="H812" s="62">
        <f t="shared" si="43"/>
        <v>0.374</v>
      </c>
    </row>
    <row r="813" spans="4:8" x14ac:dyDescent="0.25">
      <c r="D813">
        <f t="shared" si="42"/>
        <v>810</v>
      </c>
      <c r="E813">
        <f t="shared" si="41"/>
        <v>2670000</v>
      </c>
      <c r="H813" s="62">
        <f t="shared" si="43"/>
        <v>0.36499999999999999</v>
      </c>
    </row>
    <row r="814" spans="4:8" x14ac:dyDescent="0.25">
      <c r="D814">
        <f t="shared" si="42"/>
        <v>811</v>
      </c>
      <c r="E814">
        <f t="shared" si="41"/>
        <v>2740000</v>
      </c>
      <c r="H814" s="62">
        <f t="shared" si="43"/>
        <v>0.35700000000000004</v>
      </c>
    </row>
    <row r="815" spans="4:8" x14ac:dyDescent="0.25">
      <c r="D815">
        <f t="shared" si="42"/>
        <v>812</v>
      </c>
      <c r="E815">
        <f t="shared" si="41"/>
        <v>2800000</v>
      </c>
      <c r="H815" s="62">
        <f t="shared" si="43"/>
        <v>0.34799999999999998</v>
      </c>
    </row>
    <row r="816" spans="4:8" x14ac:dyDescent="0.25">
      <c r="D816">
        <f t="shared" si="42"/>
        <v>813</v>
      </c>
      <c r="E816">
        <f t="shared" si="41"/>
        <v>2870000</v>
      </c>
      <c r="H816" s="62">
        <f t="shared" si="43"/>
        <v>0.33999999999999997</v>
      </c>
    </row>
    <row r="817" spans="4:8" x14ac:dyDescent="0.25">
      <c r="D817">
        <f t="shared" si="42"/>
        <v>814</v>
      </c>
      <c r="E817">
        <f t="shared" si="41"/>
        <v>2940000</v>
      </c>
      <c r="H817" s="62">
        <f t="shared" si="43"/>
        <v>0.33200000000000002</v>
      </c>
    </row>
    <row r="818" spans="4:8" x14ac:dyDescent="0.25">
      <c r="D818">
        <f t="shared" si="42"/>
        <v>815</v>
      </c>
      <c r="E818">
        <f t="shared" si="41"/>
        <v>3010000</v>
      </c>
      <c r="H818" s="62">
        <f t="shared" si="43"/>
        <v>0.32400000000000012</v>
      </c>
    </row>
    <row r="819" spans="4:8" x14ac:dyDescent="0.25">
      <c r="D819">
        <f t="shared" si="42"/>
        <v>816</v>
      </c>
      <c r="E819">
        <f t="shared" si="41"/>
        <v>3090000</v>
      </c>
      <c r="H819" s="62">
        <f t="shared" si="43"/>
        <v>0.316</v>
      </c>
    </row>
    <row r="820" spans="4:8" x14ac:dyDescent="0.25">
      <c r="D820">
        <f t="shared" si="42"/>
        <v>817</v>
      </c>
      <c r="E820">
        <f t="shared" si="41"/>
        <v>3160000.0000000005</v>
      </c>
      <c r="H820" s="62">
        <f t="shared" si="43"/>
        <v>0.309</v>
      </c>
    </row>
    <row r="821" spans="4:8" x14ac:dyDescent="0.25">
      <c r="D821">
        <f t="shared" si="42"/>
        <v>818</v>
      </c>
      <c r="E821">
        <f t="shared" si="41"/>
        <v>3240000.0000000005</v>
      </c>
      <c r="H821" s="62">
        <f t="shared" si="43"/>
        <v>0.30099999999999988</v>
      </c>
    </row>
    <row r="822" spans="4:8" x14ac:dyDescent="0.25">
      <c r="D822">
        <f t="shared" si="42"/>
        <v>819</v>
      </c>
      <c r="E822">
        <f t="shared" si="41"/>
        <v>3320000</v>
      </c>
      <c r="H822" s="62">
        <f t="shared" si="43"/>
        <v>0.29399999999999998</v>
      </c>
    </row>
    <row r="823" spans="4:8" x14ac:dyDescent="0.25">
      <c r="D823">
        <f t="shared" si="42"/>
        <v>820</v>
      </c>
      <c r="E823">
        <f t="shared" si="41"/>
        <v>3400000</v>
      </c>
      <c r="H823" s="62">
        <f t="shared" si="43"/>
        <v>0.28700000000000003</v>
      </c>
    </row>
    <row r="824" spans="4:8" x14ac:dyDescent="0.25">
      <c r="D824">
        <f t="shared" si="42"/>
        <v>821</v>
      </c>
      <c r="E824">
        <f t="shared" si="41"/>
        <v>3480000</v>
      </c>
      <c r="H824" s="62">
        <f t="shared" si="43"/>
        <v>0.27999999999999997</v>
      </c>
    </row>
    <row r="825" spans="4:8" x14ac:dyDescent="0.25">
      <c r="D825">
        <f t="shared" si="42"/>
        <v>822</v>
      </c>
      <c r="E825">
        <f t="shared" ref="E825:E888" si="44">10*E729</f>
        <v>3570000</v>
      </c>
      <c r="H825" s="62">
        <f t="shared" si="43"/>
        <v>0.27400000000000013</v>
      </c>
    </row>
    <row r="826" spans="4:8" x14ac:dyDescent="0.25">
      <c r="D826">
        <f t="shared" si="42"/>
        <v>823</v>
      </c>
      <c r="E826">
        <f t="shared" si="44"/>
        <v>3650000</v>
      </c>
      <c r="H826" s="62">
        <f t="shared" si="43"/>
        <v>0.26700000000000002</v>
      </c>
    </row>
    <row r="827" spans="4:8" x14ac:dyDescent="0.25">
      <c r="D827">
        <f t="shared" si="42"/>
        <v>824</v>
      </c>
      <c r="E827">
        <f t="shared" si="44"/>
        <v>3740000.0000000005</v>
      </c>
      <c r="H827" s="62">
        <f t="shared" si="43"/>
        <v>0.26100000000000001</v>
      </c>
    </row>
    <row r="828" spans="4:8" x14ac:dyDescent="0.25">
      <c r="D828">
        <f t="shared" si="42"/>
        <v>825</v>
      </c>
      <c r="E828">
        <f t="shared" si="44"/>
        <v>3830000</v>
      </c>
      <c r="H828" s="62">
        <f t="shared" si="43"/>
        <v>0.255</v>
      </c>
    </row>
    <row r="829" spans="4:8" x14ac:dyDescent="0.25">
      <c r="D829">
        <f t="shared" si="42"/>
        <v>826</v>
      </c>
      <c r="E829">
        <f t="shared" si="44"/>
        <v>3920000</v>
      </c>
      <c r="H829" s="62">
        <f t="shared" si="43"/>
        <v>0.24900000000000011</v>
      </c>
    </row>
    <row r="830" spans="4:8" x14ac:dyDescent="0.25">
      <c r="D830">
        <f t="shared" si="42"/>
        <v>827</v>
      </c>
      <c r="E830">
        <f t="shared" si="44"/>
        <v>4020000</v>
      </c>
      <c r="H830" s="62">
        <f t="shared" si="43"/>
        <v>0.24300000000000002</v>
      </c>
    </row>
    <row r="831" spans="4:8" x14ac:dyDescent="0.25">
      <c r="D831">
        <f t="shared" si="42"/>
        <v>828</v>
      </c>
      <c r="E831">
        <f t="shared" si="44"/>
        <v>4120000</v>
      </c>
      <c r="H831" s="62">
        <f t="shared" si="43"/>
        <v>0.23700000000000002</v>
      </c>
    </row>
    <row r="832" spans="4:8" x14ac:dyDescent="0.25">
      <c r="D832">
        <f t="shared" si="42"/>
        <v>829</v>
      </c>
      <c r="E832">
        <f t="shared" si="44"/>
        <v>4220000</v>
      </c>
      <c r="H832" s="62">
        <f t="shared" si="43"/>
        <v>0.23199999999999998</v>
      </c>
    </row>
    <row r="833" spans="4:8" x14ac:dyDescent="0.25">
      <c r="D833">
        <f t="shared" si="42"/>
        <v>830</v>
      </c>
      <c r="E833">
        <f t="shared" si="44"/>
        <v>4320000</v>
      </c>
      <c r="H833" s="62">
        <f t="shared" si="43"/>
        <v>0.2259999999999999</v>
      </c>
    </row>
    <row r="834" spans="4:8" x14ac:dyDescent="0.25">
      <c r="D834">
        <f t="shared" si="42"/>
        <v>831</v>
      </c>
      <c r="E834">
        <f t="shared" si="44"/>
        <v>4420000.0000000009</v>
      </c>
      <c r="H834" s="62">
        <f t="shared" si="43"/>
        <v>0.221</v>
      </c>
    </row>
    <row r="835" spans="4:8" x14ac:dyDescent="0.25">
      <c r="D835">
        <f t="shared" si="42"/>
        <v>832</v>
      </c>
      <c r="E835">
        <f t="shared" si="44"/>
        <v>4530000.0000000009</v>
      </c>
      <c r="H835" s="62">
        <f t="shared" si="43"/>
        <v>0.21600000000000003</v>
      </c>
    </row>
    <row r="836" spans="4:8" x14ac:dyDescent="0.25">
      <c r="D836">
        <f t="shared" si="42"/>
        <v>833</v>
      </c>
      <c r="E836">
        <f t="shared" si="44"/>
        <v>4640000</v>
      </c>
      <c r="H836" s="62">
        <f t="shared" si="43"/>
        <v>0.21000000000000002</v>
      </c>
    </row>
    <row r="837" spans="4:8" x14ac:dyDescent="0.25">
      <c r="D837">
        <f t="shared" si="42"/>
        <v>834</v>
      </c>
      <c r="E837">
        <f t="shared" si="44"/>
        <v>4750000</v>
      </c>
      <c r="H837" s="62">
        <f t="shared" si="43"/>
        <v>0.20499999999999999</v>
      </c>
    </row>
    <row r="838" spans="4:8" x14ac:dyDescent="0.25">
      <c r="D838">
        <f t="shared" ref="D838:D901" si="45">1+D837</f>
        <v>835</v>
      </c>
      <c r="E838">
        <f t="shared" si="44"/>
        <v>4870000</v>
      </c>
      <c r="H838" s="62">
        <f t="shared" si="43"/>
        <v>0.2</v>
      </c>
    </row>
    <row r="839" spans="4:8" x14ac:dyDescent="0.25">
      <c r="D839">
        <f t="shared" si="45"/>
        <v>836</v>
      </c>
      <c r="E839">
        <f t="shared" si="44"/>
        <v>4990000.0000000009</v>
      </c>
      <c r="H839" s="62">
        <f t="shared" si="43"/>
        <v>0.19600000000000001</v>
      </c>
    </row>
    <row r="840" spans="4:8" x14ac:dyDescent="0.25">
      <c r="D840">
        <f t="shared" si="45"/>
        <v>837</v>
      </c>
      <c r="E840">
        <f t="shared" si="44"/>
        <v>5110000.0000000009</v>
      </c>
      <c r="H840" s="62">
        <f t="shared" si="43"/>
        <v>0.191</v>
      </c>
    </row>
    <row r="841" spans="4:8" x14ac:dyDescent="0.25">
      <c r="D841">
        <f t="shared" si="45"/>
        <v>838</v>
      </c>
      <c r="E841">
        <f t="shared" si="44"/>
        <v>5230000</v>
      </c>
      <c r="H841" s="62">
        <f t="shared" si="43"/>
        <v>0.187</v>
      </c>
    </row>
    <row r="842" spans="4:8" x14ac:dyDescent="0.25">
      <c r="D842">
        <f t="shared" si="45"/>
        <v>839</v>
      </c>
      <c r="E842">
        <f t="shared" si="44"/>
        <v>5360000</v>
      </c>
      <c r="H842" s="62">
        <f t="shared" si="43"/>
        <v>0.182</v>
      </c>
    </row>
    <row r="843" spans="4:8" x14ac:dyDescent="0.25">
      <c r="D843">
        <f t="shared" si="45"/>
        <v>840</v>
      </c>
      <c r="E843">
        <f t="shared" si="44"/>
        <v>5490000</v>
      </c>
      <c r="H843" s="62">
        <f t="shared" si="43"/>
        <v>0.17799999999999999</v>
      </c>
    </row>
    <row r="844" spans="4:8" x14ac:dyDescent="0.25">
      <c r="D844">
        <f t="shared" si="45"/>
        <v>841</v>
      </c>
      <c r="E844">
        <f t="shared" si="44"/>
        <v>5620000.0000000009</v>
      </c>
      <c r="H844" s="62">
        <f t="shared" si="43"/>
        <v>0.17399999999999999</v>
      </c>
    </row>
    <row r="845" spans="4:8" x14ac:dyDescent="0.25">
      <c r="D845">
        <f t="shared" si="45"/>
        <v>842</v>
      </c>
      <c r="E845">
        <f t="shared" si="44"/>
        <v>5760000</v>
      </c>
      <c r="H845" s="62">
        <f t="shared" si="43"/>
        <v>0.16899999999999998</v>
      </c>
    </row>
    <row r="846" spans="4:8" x14ac:dyDescent="0.25">
      <c r="D846">
        <f t="shared" si="45"/>
        <v>843</v>
      </c>
      <c r="E846">
        <f t="shared" si="44"/>
        <v>5900000</v>
      </c>
      <c r="H846" s="62">
        <f t="shared" si="43"/>
        <v>0.16499999999999998</v>
      </c>
    </row>
    <row r="847" spans="4:8" x14ac:dyDescent="0.25">
      <c r="D847">
        <f t="shared" si="45"/>
        <v>844</v>
      </c>
      <c r="E847">
        <f t="shared" si="44"/>
        <v>6040000</v>
      </c>
      <c r="H847" s="62">
        <f t="shared" si="43"/>
        <v>0.16200000000000006</v>
      </c>
    </row>
    <row r="848" spans="4:8" x14ac:dyDescent="0.25">
      <c r="D848">
        <f t="shared" si="45"/>
        <v>845</v>
      </c>
      <c r="E848">
        <f t="shared" si="44"/>
        <v>6189999.9999999991</v>
      </c>
      <c r="H848" s="62">
        <f t="shared" si="43"/>
        <v>0.158</v>
      </c>
    </row>
    <row r="849" spans="4:8" x14ac:dyDescent="0.25">
      <c r="D849">
        <f t="shared" si="45"/>
        <v>846</v>
      </c>
      <c r="E849">
        <f t="shared" si="44"/>
        <v>6340000</v>
      </c>
      <c r="H849" s="62">
        <f t="shared" si="43"/>
        <v>0.154</v>
      </c>
    </row>
    <row r="850" spans="4:8" x14ac:dyDescent="0.25">
      <c r="D850">
        <f t="shared" si="45"/>
        <v>847</v>
      </c>
      <c r="E850">
        <f t="shared" si="44"/>
        <v>6490000</v>
      </c>
      <c r="H850" s="62">
        <f t="shared" si="43"/>
        <v>0.15</v>
      </c>
    </row>
    <row r="851" spans="4:8" x14ac:dyDescent="0.25">
      <c r="D851">
        <f t="shared" si="45"/>
        <v>848</v>
      </c>
      <c r="E851">
        <f t="shared" si="44"/>
        <v>6650000</v>
      </c>
      <c r="H851" s="62">
        <f t="shared" si="43"/>
        <v>0.14699999999999999</v>
      </c>
    </row>
    <row r="852" spans="4:8" x14ac:dyDescent="0.25">
      <c r="D852">
        <f t="shared" si="45"/>
        <v>849</v>
      </c>
      <c r="E852">
        <f t="shared" si="44"/>
        <v>6810000</v>
      </c>
      <c r="H852" s="62">
        <f t="shared" si="43"/>
        <v>0.14300000000000002</v>
      </c>
    </row>
    <row r="853" spans="4:8" x14ac:dyDescent="0.25">
      <c r="D853">
        <f t="shared" si="45"/>
        <v>850</v>
      </c>
      <c r="E853">
        <f t="shared" si="44"/>
        <v>6980000</v>
      </c>
      <c r="H853" s="62">
        <f t="shared" si="43"/>
        <v>0.13999999999999999</v>
      </c>
    </row>
    <row r="854" spans="4:8" x14ac:dyDescent="0.25">
      <c r="D854">
        <f t="shared" si="45"/>
        <v>851</v>
      </c>
      <c r="E854">
        <f t="shared" si="44"/>
        <v>7150000</v>
      </c>
      <c r="H854" s="62">
        <f t="shared" si="43"/>
        <v>0.13700000000000007</v>
      </c>
    </row>
    <row r="855" spans="4:8" x14ac:dyDescent="0.25">
      <c r="D855">
        <f t="shared" si="45"/>
        <v>852</v>
      </c>
      <c r="E855">
        <f t="shared" si="44"/>
        <v>7320000</v>
      </c>
      <c r="H855" s="62">
        <f t="shared" si="43"/>
        <v>0.13300000000000001</v>
      </c>
    </row>
    <row r="856" spans="4:8" x14ac:dyDescent="0.25">
      <c r="D856">
        <f t="shared" si="45"/>
        <v>853</v>
      </c>
      <c r="E856">
        <f t="shared" si="44"/>
        <v>7500000</v>
      </c>
      <c r="H856" s="62">
        <f t="shared" si="43"/>
        <v>0.13</v>
      </c>
    </row>
    <row r="857" spans="4:8" x14ac:dyDescent="0.25">
      <c r="D857">
        <f t="shared" si="45"/>
        <v>854</v>
      </c>
      <c r="E857">
        <f t="shared" si="44"/>
        <v>7679999.9999999991</v>
      </c>
      <c r="H857" s="62">
        <f t="shared" si="43"/>
        <v>0.127</v>
      </c>
    </row>
    <row r="858" spans="4:8" x14ac:dyDescent="0.25">
      <c r="D858">
        <f t="shared" si="45"/>
        <v>855</v>
      </c>
      <c r="E858">
        <f t="shared" si="44"/>
        <v>7870000</v>
      </c>
      <c r="H858" s="62">
        <f t="shared" si="43"/>
        <v>0.124</v>
      </c>
    </row>
    <row r="859" spans="4:8" x14ac:dyDescent="0.25">
      <c r="D859">
        <f t="shared" si="45"/>
        <v>856</v>
      </c>
      <c r="E859">
        <f t="shared" si="44"/>
        <v>8060000.0000000009</v>
      </c>
      <c r="H859" s="62">
        <f t="shared" si="43"/>
        <v>0.121</v>
      </c>
    </row>
    <row r="860" spans="4:8" x14ac:dyDescent="0.25">
      <c r="D860">
        <f t="shared" si="45"/>
        <v>857</v>
      </c>
      <c r="E860">
        <f t="shared" si="44"/>
        <v>8250000</v>
      </c>
      <c r="H860" s="62">
        <f t="shared" si="43"/>
        <v>0.11800000000000002</v>
      </c>
    </row>
    <row r="861" spans="4:8" x14ac:dyDescent="0.25">
      <c r="D861">
        <f t="shared" si="45"/>
        <v>858</v>
      </c>
      <c r="E861">
        <f t="shared" si="44"/>
        <v>8450000</v>
      </c>
      <c r="H861" s="62">
        <f t="shared" si="43"/>
        <v>0.11499999999999999</v>
      </c>
    </row>
    <row r="862" spans="4:8" x14ac:dyDescent="0.25">
      <c r="D862">
        <f t="shared" si="45"/>
        <v>859</v>
      </c>
      <c r="E862">
        <f t="shared" si="44"/>
        <v>8660000</v>
      </c>
      <c r="H862" s="62">
        <f t="shared" si="43"/>
        <v>0.11299999999999995</v>
      </c>
    </row>
    <row r="863" spans="4:8" x14ac:dyDescent="0.25">
      <c r="D863">
        <f t="shared" si="45"/>
        <v>860</v>
      </c>
      <c r="E863">
        <f t="shared" si="44"/>
        <v>8869999.9999999981</v>
      </c>
      <c r="H863" s="62">
        <f t="shared" si="43"/>
        <v>0.11000000000000001</v>
      </c>
    </row>
    <row r="864" spans="4:8" x14ac:dyDescent="0.25">
      <c r="D864">
        <f t="shared" si="45"/>
        <v>861</v>
      </c>
      <c r="E864">
        <f t="shared" si="44"/>
        <v>9090000</v>
      </c>
      <c r="H864" s="62">
        <f t="shared" si="43"/>
        <v>0.10699999999999998</v>
      </c>
    </row>
    <row r="865" spans="4:8" x14ac:dyDescent="0.25">
      <c r="D865">
        <f t="shared" si="45"/>
        <v>862</v>
      </c>
      <c r="E865">
        <f t="shared" si="44"/>
        <v>9310000.0000000019</v>
      </c>
      <c r="H865" s="62">
        <f t="shared" si="43"/>
        <v>0.10500000000000001</v>
      </c>
    </row>
    <row r="866" spans="4:8" x14ac:dyDescent="0.25">
      <c r="D866">
        <f t="shared" si="45"/>
        <v>863</v>
      </c>
      <c r="E866">
        <f t="shared" si="44"/>
        <v>9530000</v>
      </c>
      <c r="H866" s="62">
        <f t="shared" si="43"/>
        <v>0.10200000000000001</v>
      </c>
    </row>
    <row r="867" spans="4:8" x14ac:dyDescent="0.25">
      <c r="D867">
        <f t="shared" si="45"/>
        <v>864</v>
      </c>
      <c r="E867">
        <f t="shared" si="44"/>
        <v>9760000.0000000019</v>
      </c>
      <c r="H867" s="62">
        <f t="shared" si="43"/>
        <v>0.1</v>
      </c>
    </row>
    <row r="868" spans="4:8" x14ac:dyDescent="0.25">
      <c r="D868">
        <f t="shared" si="45"/>
        <v>865</v>
      </c>
      <c r="E868">
        <f t="shared" si="44"/>
        <v>10000000</v>
      </c>
      <c r="H868" s="62">
        <f t="shared" si="43"/>
        <v>9.7599999999999992E-2</v>
      </c>
    </row>
    <row r="869" spans="4:8" x14ac:dyDescent="0.25">
      <c r="D869">
        <f t="shared" si="45"/>
        <v>866</v>
      </c>
      <c r="E869">
        <f t="shared" si="44"/>
        <v>10200000</v>
      </c>
      <c r="H869" s="62">
        <f t="shared" ref="H869:H932" si="46">H773/10</f>
        <v>9.5299999999999996E-2</v>
      </c>
    </row>
    <row r="870" spans="4:8" x14ac:dyDescent="0.25">
      <c r="D870">
        <f t="shared" si="45"/>
        <v>867</v>
      </c>
      <c r="E870">
        <f t="shared" si="44"/>
        <v>10500000</v>
      </c>
      <c r="H870" s="62">
        <f t="shared" si="46"/>
        <v>9.3099999999999988E-2</v>
      </c>
    </row>
    <row r="871" spans="4:8" x14ac:dyDescent="0.25">
      <c r="D871">
        <f t="shared" si="45"/>
        <v>868</v>
      </c>
      <c r="E871">
        <f t="shared" si="44"/>
        <v>10700000.000000002</v>
      </c>
      <c r="H871" s="62">
        <f t="shared" si="46"/>
        <v>9.0900000000000009E-2</v>
      </c>
    </row>
    <row r="872" spans="4:8" x14ac:dyDescent="0.25">
      <c r="D872">
        <f t="shared" si="45"/>
        <v>869</v>
      </c>
      <c r="E872">
        <f t="shared" si="44"/>
        <v>11000000</v>
      </c>
      <c r="H872" s="62">
        <f t="shared" si="46"/>
        <v>8.8699999999999959E-2</v>
      </c>
    </row>
    <row r="873" spans="4:8" x14ac:dyDescent="0.25">
      <c r="D873">
        <f t="shared" si="45"/>
        <v>870</v>
      </c>
      <c r="E873">
        <f t="shared" si="44"/>
        <v>11299999.999999998</v>
      </c>
      <c r="H873" s="62">
        <f t="shared" si="46"/>
        <v>8.6599999999999996E-2</v>
      </c>
    </row>
    <row r="874" spans="4:8" x14ac:dyDescent="0.25">
      <c r="D874">
        <f t="shared" si="45"/>
        <v>871</v>
      </c>
      <c r="E874">
        <f t="shared" si="44"/>
        <v>11500000</v>
      </c>
      <c r="H874" s="62">
        <f t="shared" si="46"/>
        <v>8.4499999999999992E-2</v>
      </c>
    </row>
    <row r="875" spans="4:8" x14ac:dyDescent="0.25">
      <c r="D875">
        <f t="shared" si="45"/>
        <v>872</v>
      </c>
      <c r="E875">
        <f t="shared" si="44"/>
        <v>11799999.999999998</v>
      </c>
      <c r="H875" s="62">
        <f t="shared" si="46"/>
        <v>8.249999999999999E-2</v>
      </c>
    </row>
    <row r="876" spans="4:8" x14ac:dyDescent="0.25">
      <c r="D876">
        <f t="shared" si="45"/>
        <v>873</v>
      </c>
      <c r="E876">
        <f t="shared" si="44"/>
        <v>12100000</v>
      </c>
      <c r="H876" s="62">
        <f t="shared" si="46"/>
        <v>8.0599999999999977E-2</v>
      </c>
    </row>
    <row r="877" spans="4:8" x14ac:dyDescent="0.25">
      <c r="D877">
        <f t="shared" si="45"/>
        <v>874</v>
      </c>
      <c r="E877">
        <f t="shared" si="44"/>
        <v>12400000</v>
      </c>
      <c r="H877" s="62">
        <f t="shared" si="46"/>
        <v>7.8700000000000006E-2</v>
      </c>
    </row>
    <row r="878" spans="4:8" x14ac:dyDescent="0.25">
      <c r="D878">
        <f t="shared" si="45"/>
        <v>875</v>
      </c>
      <c r="E878">
        <f t="shared" si="44"/>
        <v>12700000</v>
      </c>
      <c r="H878" s="62">
        <f t="shared" si="46"/>
        <v>7.6800000000000007E-2</v>
      </c>
    </row>
    <row r="879" spans="4:8" x14ac:dyDescent="0.25">
      <c r="D879">
        <f t="shared" si="45"/>
        <v>876</v>
      </c>
      <c r="E879">
        <f t="shared" si="44"/>
        <v>13000000</v>
      </c>
      <c r="H879" s="62">
        <f t="shared" si="46"/>
        <v>7.4999999999999997E-2</v>
      </c>
    </row>
    <row r="880" spans="4:8" x14ac:dyDescent="0.25">
      <c r="D880">
        <f t="shared" si="45"/>
        <v>877</v>
      </c>
      <c r="E880">
        <f t="shared" si="44"/>
        <v>13300000</v>
      </c>
      <c r="H880" s="62">
        <f t="shared" si="46"/>
        <v>7.3200000000000001E-2</v>
      </c>
    </row>
    <row r="881" spans="4:8" x14ac:dyDescent="0.25">
      <c r="D881">
        <f t="shared" si="45"/>
        <v>878</v>
      </c>
      <c r="E881">
        <f t="shared" si="44"/>
        <v>13700000</v>
      </c>
      <c r="H881" s="62">
        <f t="shared" si="46"/>
        <v>7.1500000000000008E-2</v>
      </c>
    </row>
    <row r="882" spans="4:8" x14ac:dyDescent="0.25">
      <c r="D882">
        <f t="shared" si="45"/>
        <v>879</v>
      </c>
      <c r="E882">
        <f t="shared" si="44"/>
        <v>14000000</v>
      </c>
      <c r="H882" s="62">
        <f t="shared" si="46"/>
        <v>6.9800000000000001E-2</v>
      </c>
    </row>
    <row r="883" spans="4:8" x14ac:dyDescent="0.25">
      <c r="D883">
        <f t="shared" si="45"/>
        <v>880</v>
      </c>
      <c r="E883">
        <f t="shared" si="44"/>
        <v>14300000</v>
      </c>
      <c r="H883" s="62">
        <f t="shared" si="46"/>
        <v>6.8099999999999994E-2</v>
      </c>
    </row>
    <row r="884" spans="4:8" x14ac:dyDescent="0.25">
      <c r="D884">
        <f t="shared" si="45"/>
        <v>881</v>
      </c>
      <c r="E884">
        <f t="shared" si="44"/>
        <v>14700000</v>
      </c>
      <c r="H884" s="62">
        <f t="shared" si="46"/>
        <v>6.6500000000000004E-2</v>
      </c>
    </row>
    <row r="885" spans="4:8" x14ac:dyDescent="0.25">
      <c r="D885">
        <f t="shared" si="45"/>
        <v>882</v>
      </c>
      <c r="E885">
        <f t="shared" si="44"/>
        <v>15000000</v>
      </c>
      <c r="H885" s="62">
        <f t="shared" si="46"/>
        <v>6.4899999999999999E-2</v>
      </c>
    </row>
    <row r="886" spans="4:8" x14ac:dyDescent="0.25">
      <c r="D886">
        <f t="shared" si="45"/>
        <v>883</v>
      </c>
      <c r="E886">
        <f t="shared" si="44"/>
        <v>15400000</v>
      </c>
      <c r="H886" s="62">
        <f t="shared" si="46"/>
        <v>6.3399999999999998E-2</v>
      </c>
    </row>
    <row r="887" spans="4:8" x14ac:dyDescent="0.25">
      <c r="D887">
        <f t="shared" si="45"/>
        <v>884</v>
      </c>
      <c r="E887">
        <f t="shared" si="44"/>
        <v>15800000.000000002</v>
      </c>
      <c r="H887" s="62">
        <f t="shared" si="46"/>
        <v>6.1900000000000024E-2</v>
      </c>
    </row>
    <row r="888" spans="4:8" x14ac:dyDescent="0.25">
      <c r="D888">
        <f t="shared" si="45"/>
        <v>885</v>
      </c>
      <c r="E888">
        <f t="shared" si="44"/>
        <v>16200000.000000002</v>
      </c>
      <c r="H888" s="62">
        <f t="shared" si="46"/>
        <v>6.0399999999999995E-2</v>
      </c>
    </row>
    <row r="889" spans="4:8" x14ac:dyDescent="0.25">
      <c r="D889">
        <f t="shared" si="45"/>
        <v>886</v>
      </c>
      <c r="E889">
        <f t="shared" ref="E889:E900" si="47">10*E793</f>
        <v>16500000</v>
      </c>
      <c r="H889" s="62">
        <f t="shared" si="46"/>
        <v>5.9000000000000011E-2</v>
      </c>
    </row>
    <row r="890" spans="4:8" x14ac:dyDescent="0.25">
      <c r="D890">
        <f t="shared" si="45"/>
        <v>887</v>
      </c>
      <c r="E890">
        <f t="shared" si="47"/>
        <v>16900000</v>
      </c>
      <c r="H890" s="62">
        <f t="shared" si="46"/>
        <v>5.7599999999999998E-2</v>
      </c>
    </row>
    <row r="891" spans="4:8" x14ac:dyDescent="0.25">
      <c r="D891">
        <f t="shared" si="45"/>
        <v>888</v>
      </c>
      <c r="E891">
        <f t="shared" si="47"/>
        <v>17400000</v>
      </c>
      <c r="H891" s="62">
        <f t="shared" si="46"/>
        <v>5.6200000000000007E-2</v>
      </c>
    </row>
    <row r="892" spans="4:8" x14ac:dyDescent="0.25">
      <c r="D892">
        <f t="shared" si="45"/>
        <v>889</v>
      </c>
      <c r="E892">
        <f t="shared" si="47"/>
        <v>17799999.999999996</v>
      </c>
      <c r="H892" s="62">
        <f t="shared" si="46"/>
        <v>5.4900000000000004E-2</v>
      </c>
    </row>
    <row r="893" spans="4:8" x14ac:dyDescent="0.25">
      <c r="D893">
        <f t="shared" si="45"/>
        <v>890</v>
      </c>
      <c r="E893">
        <f t="shared" si="47"/>
        <v>18200000</v>
      </c>
      <c r="H893" s="62">
        <f t="shared" si="46"/>
        <v>5.3600000000000002E-2</v>
      </c>
    </row>
    <row r="894" spans="4:8" x14ac:dyDescent="0.25">
      <c r="D894">
        <f t="shared" si="45"/>
        <v>891</v>
      </c>
      <c r="E894">
        <f t="shared" si="47"/>
        <v>18700000.000000004</v>
      </c>
      <c r="H894" s="62">
        <f t="shared" si="46"/>
        <v>5.2300000000000027E-2</v>
      </c>
    </row>
    <row r="895" spans="4:8" x14ac:dyDescent="0.25">
      <c r="D895">
        <f t="shared" si="45"/>
        <v>892</v>
      </c>
      <c r="E895">
        <f t="shared" si="47"/>
        <v>19100000</v>
      </c>
      <c r="H895" s="62">
        <f t="shared" si="46"/>
        <v>5.11E-2</v>
      </c>
    </row>
    <row r="896" spans="4:8" x14ac:dyDescent="0.25">
      <c r="D896">
        <f t="shared" si="45"/>
        <v>893</v>
      </c>
      <c r="E896">
        <f t="shared" si="47"/>
        <v>19600000</v>
      </c>
      <c r="H896" s="62">
        <f t="shared" si="46"/>
        <v>4.99E-2</v>
      </c>
    </row>
    <row r="897" spans="4:8" x14ac:dyDescent="0.25">
      <c r="D897">
        <f t="shared" si="45"/>
        <v>894</v>
      </c>
      <c r="E897">
        <f t="shared" si="47"/>
        <v>20000000</v>
      </c>
      <c r="H897" s="62">
        <f t="shared" si="46"/>
        <v>4.87E-2</v>
      </c>
    </row>
    <row r="898" spans="4:8" x14ac:dyDescent="0.25">
      <c r="D898">
        <f t="shared" si="45"/>
        <v>895</v>
      </c>
      <c r="E898">
        <f t="shared" si="47"/>
        <v>20500000</v>
      </c>
      <c r="H898" s="62">
        <f t="shared" si="46"/>
        <v>4.7500000000000001E-2</v>
      </c>
    </row>
    <row r="899" spans="4:8" x14ac:dyDescent="0.25">
      <c r="D899">
        <f t="shared" si="45"/>
        <v>896</v>
      </c>
      <c r="E899">
        <f t="shared" si="47"/>
        <v>21000000</v>
      </c>
      <c r="H899" s="62">
        <f t="shared" si="46"/>
        <v>4.6399999999999997E-2</v>
      </c>
    </row>
    <row r="900" spans="4:8" x14ac:dyDescent="0.25">
      <c r="D900">
        <f t="shared" si="45"/>
        <v>897</v>
      </c>
      <c r="E900">
        <f t="shared" si="47"/>
        <v>21600000</v>
      </c>
      <c r="H900" s="62">
        <f t="shared" si="46"/>
        <v>4.5299999999999993E-2</v>
      </c>
    </row>
    <row r="901" spans="4:8" x14ac:dyDescent="0.25">
      <c r="D901">
        <f t="shared" si="45"/>
        <v>898</v>
      </c>
      <c r="E901">
        <f>10*E805</f>
        <v>22100000.000000004</v>
      </c>
      <c r="H901" s="62">
        <f t="shared" si="46"/>
        <v>4.4200000000000003E-2</v>
      </c>
    </row>
    <row r="902" spans="4:8" x14ac:dyDescent="0.25">
      <c r="D902">
        <f t="shared" ref="D902:D963" si="48">1+D901</f>
        <v>899</v>
      </c>
      <c r="E902">
        <f t="shared" ref="E902:E963" si="49">10*E806</f>
        <v>22599999.999999996</v>
      </c>
      <c r="H902" s="62">
        <f t="shared" si="46"/>
        <v>4.3200000000000002E-2</v>
      </c>
    </row>
    <row r="903" spans="4:8" x14ac:dyDescent="0.25">
      <c r="D903">
        <f t="shared" si="48"/>
        <v>900</v>
      </c>
      <c r="E903">
        <f t="shared" si="49"/>
        <v>23200000</v>
      </c>
      <c r="H903" s="62">
        <f t="shared" si="46"/>
        <v>4.2200000000000001E-2</v>
      </c>
    </row>
    <row r="904" spans="4:8" x14ac:dyDescent="0.25">
      <c r="D904">
        <f t="shared" si="48"/>
        <v>901</v>
      </c>
      <c r="E904">
        <f t="shared" si="49"/>
        <v>23700000.000000004</v>
      </c>
      <c r="H904" s="62">
        <f t="shared" si="46"/>
        <v>4.1200000000000001E-2</v>
      </c>
    </row>
    <row r="905" spans="4:8" x14ac:dyDescent="0.25">
      <c r="D905">
        <f t="shared" si="48"/>
        <v>902</v>
      </c>
      <c r="E905">
        <f t="shared" si="49"/>
        <v>24300000</v>
      </c>
      <c r="H905" s="62">
        <f t="shared" si="46"/>
        <v>4.0199999999999986E-2</v>
      </c>
    </row>
    <row r="906" spans="4:8" x14ac:dyDescent="0.25">
      <c r="D906">
        <f t="shared" si="48"/>
        <v>903</v>
      </c>
      <c r="E906">
        <f t="shared" si="49"/>
        <v>24900000.000000004</v>
      </c>
      <c r="H906" s="62">
        <f t="shared" si="46"/>
        <v>3.9199999999999999E-2</v>
      </c>
    </row>
    <row r="907" spans="4:8" x14ac:dyDescent="0.25">
      <c r="D907">
        <f t="shared" si="48"/>
        <v>904</v>
      </c>
      <c r="E907">
        <f t="shared" si="49"/>
        <v>25500000</v>
      </c>
      <c r="H907" s="62">
        <f t="shared" si="46"/>
        <v>3.8299999999999994E-2</v>
      </c>
    </row>
    <row r="908" spans="4:8" x14ac:dyDescent="0.25">
      <c r="D908">
        <f t="shared" si="48"/>
        <v>905</v>
      </c>
      <c r="E908">
        <f t="shared" si="49"/>
        <v>26100000</v>
      </c>
      <c r="H908" s="62">
        <f t="shared" si="46"/>
        <v>3.7400000000000003E-2</v>
      </c>
    </row>
    <row r="909" spans="4:8" x14ac:dyDescent="0.25">
      <c r="D909">
        <f t="shared" si="48"/>
        <v>906</v>
      </c>
      <c r="E909">
        <f t="shared" si="49"/>
        <v>26700000</v>
      </c>
      <c r="H909" s="62">
        <f t="shared" si="46"/>
        <v>3.6499999999999998E-2</v>
      </c>
    </row>
    <row r="910" spans="4:8" x14ac:dyDescent="0.25">
      <c r="D910">
        <f t="shared" si="48"/>
        <v>907</v>
      </c>
      <c r="E910">
        <f t="shared" si="49"/>
        <v>27400000</v>
      </c>
      <c r="H910" s="62">
        <f t="shared" si="46"/>
        <v>3.5700000000000003E-2</v>
      </c>
    </row>
    <row r="911" spans="4:8" x14ac:dyDescent="0.25">
      <c r="D911">
        <f t="shared" si="48"/>
        <v>908</v>
      </c>
      <c r="E911">
        <f t="shared" si="49"/>
        <v>28000000</v>
      </c>
      <c r="H911" s="62">
        <f t="shared" si="46"/>
        <v>3.4799999999999998E-2</v>
      </c>
    </row>
    <row r="912" spans="4:8" x14ac:dyDescent="0.25">
      <c r="D912">
        <f t="shared" si="48"/>
        <v>909</v>
      </c>
      <c r="E912">
        <f t="shared" si="49"/>
        <v>28700000</v>
      </c>
      <c r="H912" s="62">
        <f t="shared" si="46"/>
        <v>3.3999999999999996E-2</v>
      </c>
    </row>
    <row r="913" spans="4:8" x14ac:dyDescent="0.25">
      <c r="D913">
        <f t="shared" si="48"/>
        <v>910</v>
      </c>
      <c r="E913">
        <f t="shared" si="49"/>
        <v>29400000</v>
      </c>
      <c r="H913" s="62">
        <f t="shared" si="46"/>
        <v>3.32E-2</v>
      </c>
    </row>
    <row r="914" spans="4:8" x14ac:dyDescent="0.25">
      <c r="D914">
        <f t="shared" si="48"/>
        <v>911</v>
      </c>
      <c r="E914">
        <f t="shared" si="49"/>
        <v>30100000</v>
      </c>
      <c r="H914" s="62">
        <f t="shared" si="46"/>
        <v>3.2400000000000012E-2</v>
      </c>
    </row>
    <row r="915" spans="4:8" x14ac:dyDescent="0.25">
      <c r="D915">
        <f t="shared" si="48"/>
        <v>912</v>
      </c>
      <c r="E915">
        <f t="shared" si="49"/>
        <v>30900000</v>
      </c>
      <c r="H915" s="62">
        <f t="shared" si="46"/>
        <v>3.1600000000000003E-2</v>
      </c>
    </row>
    <row r="916" spans="4:8" x14ac:dyDescent="0.25">
      <c r="D916">
        <f t="shared" si="48"/>
        <v>913</v>
      </c>
      <c r="E916">
        <f t="shared" si="49"/>
        <v>31600000.000000004</v>
      </c>
      <c r="H916" s="62">
        <f t="shared" si="46"/>
        <v>3.09E-2</v>
      </c>
    </row>
    <row r="917" spans="4:8" x14ac:dyDescent="0.25">
      <c r="D917">
        <f t="shared" si="48"/>
        <v>914</v>
      </c>
      <c r="E917">
        <f t="shared" si="49"/>
        <v>32400000.000000004</v>
      </c>
      <c r="H917" s="62">
        <f t="shared" si="46"/>
        <v>3.0099999999999988E-2</v>
      </c>
    </row>
    <row r="918" spans="4:8" x14ac:dyDescent="0.25">
      <c r="D918">
        <f t="shared" si="48"/>
        <v>915</v>
      </c>
      <c r="E918">
        <f t="shared" si="49"/>
        <v>33200000</v>
      </c>
      <c r="H918" s="62">
        <f t="shared" si="46"/>
        <v>2.9399999999999999E-2</v>
      </c>
    </row>
    <row r="919" spans="4:8" x14ac:dyDescent="0.25">
      <c r="D919">
        <f t="shared" si="48"/>
        <v>916</v>
      </c>
      <c r="E919">
        <f t="shared" si="49"/>
        <v>34000000</v>
      </c>
      <c r="H919" s="62">
        <f t="shared" si="46"/>
        <v>2.8700000000000003E-2</v>
      </c>
    </row>
    <row r="920" spans="4:8" x14ac:dyDescent="0.25">
      <c r="D920">
        <f t="shared" si="48"/>
        <v>917</v>
      </c>
      <c r="E920">
        <f t="shared" si="49"/>
        <v>34800000</v>
      </c>
      <c r="H920" s="62">
        <f t="shared" si="46"/>
        <v>2.7999999999999997E-2</v>
      </c>
    </row>
    <row r="921" spans="4:8" x14ac:dyDescent="0.25">
      <c r="D921">
        <f t="shared" si="48"/>
        <v>918</v>
      </c>
      <c r="E921">
        <f t="shared" si="49"/>
        <v>35700000</v>
      </c>
      <c r="H921" s="62">
        <f t="shared" si="46"/>
        <v>2.7400000000000015E-2</v>
      </c>
    </row>
    <row r="922" spans="4:8" x14ac:dyDescent="0.25">
      <c r="D922">
        <f t="shared" si="48"/>
        <v>919</v>
      </c>
      <c r="E922">
        <f t="shared" si="49"/>
        <v>36500000</v>
      </c>
      <c r="H922" s="62">
        <f t="shared" si="46"/>
        <v>2.6700000000000002E-2</v>
      </c>
    </row>
    <row r="923" spans="4:8" x14ac:dyDescent="0.25">
      <c r="D923">
        <f t="shared" si="48"/>
        <v>920</v>
      </c>
      <c r="E923">
        <f t="shared" si="49"/>
        <v>37400000.000000007</v>
      </c>
      <c r="H923" s="62">
        <f t="shared" si="46"/>
        <v>2.6100000000000002E-2</v>
      </c>
    </row>
    <row r="924" spans="4:8" x14ac:dyDescent="0.25">
      <c r="D924">
        <f t="shared" si="48"/>
        <v>921</v>
      </c>
      <c r="E924">
        <f t="shared" si="49"/>
        <v>38300000</v>
      </c>
      <c r="H924" s="62">
        <f t="shared" si="46"/>
        <v>2.5500000000000002E-2</v>
      </c>
    </row>
    <row r="925" spans="4:8" x14ac:dyDescent="0.25">
      <c r="D925">
        <f t="shared" si="48"/>
        <v>922</v>
      </c>
      <c r="E925">
        <f t="shared" si="49"/>
        <v>39200000</v>
      </c>
      <c r="H925" s="62">
        <f t="shared" si="46"/>
        <v>2.4900000000000012E-2</v>
      </c>
    </row>
    <row r="926" spans="4:8" x14ac:dyDescent="0.25">
      <c r="D926">
        <f t="shared" si="48"/>
        <v>923</v>
      </c>
      <c r="E926">
        <f t="shared" si="49"/>
        <v>40200000</v>
      </c>
      <c r="H926" s="62">
        <f t="shared" si="46"/>
        <v>2.4300000000000002E-2</v>
      </c>
    </row>
    <row r="927" spans="4:8" x14ac:dyDescent="0.25">
      <c r="D927">
        <f t="shared" si="48"/>
        <v>924</v>
      </c>
      <c r="E927">
        <f t="shared" si="49"/>
        <v>41200000</v>
      </c>
      <c r="H927" s="62">
        <f t="shared" si="46"/>
        <v>2.3700000000000002E-2</v>
      </c>
    </row>
    <row r="928" spans="4:8" x14ac:dyDescent="0.25">
      <c r="D928">
        <f t="shared" si="48"/>
        <v>925</v>
      </c>
      <c r="E928">
        <f t="shared" si="49"/>
        <v>42200000</v>
      </c>
      <c r="H928" s="62">
        <f t="shared" si="46"/>
        <v>2.3199999999999998E-2</v>
      </c>
    </row>
    <row r="929" spans="4:8" x14ac:dyDescent="0.25">
      <c r="D929">
        <f t="shared" si="48"/>
        <v>926</v>
      </c>
      <c r="E929">
        <f t="shared" si="49"/>
        <v>43200000</v>
      </c>
      <c r="H929" s="62">
        <f t="shared" si="46"/>
        <v>2.2599999999999988E-2</v>
      </c>
    </row>
    <row r="930" spans="4:8" x14ac:dyDescent="0.25">
      <c r="D930">
        <f t="shared" si="48"/>
        <v>927</v>
      </c>
      <c r="E930">
        <f t="shared" si="49"/>
        <v>44200000.000000007</v>
      </c>
      <c r="H930" s="62">
        <f t="shared" si="46"/>
        <v>2.2100000000000002E-2</v>
      </c>
    </row>
    <row r="931" spans="4:8" x14ac:dyDescent="0.25">
      <c r="D931">
        <f t="shared" si="48"/>
        <v>928</v>
      </c>
      <c r="E931">
        <f t="shared" si="49"/>
        <v>45300000.000000007</v>
      </c>
      <c r="H931" s="62">
        <f t="shared" si="46"/>
        <v>2.1600000000000001E-2</v>
      </c>
    </row>
    <row r="932" spans="4:8" x14ac:dyDescent="0.25">
      <c r="D932">
        <f t="shared" si="48"/>
        <v>929</v>
      </c>
      <c r="E932">
        <f t="shared" si="49"/>
        <v>46400000</v>
      </c>
      <c r="H932" s="62">
        <f t="shared" si="46"/>
        <v>2.1000000000000001E-2</v>
      </c>
    </row>
    <row r="933" spans="4:8" x14ac:dyDescent="0.25">
      <c r="D933">
        <f t="shared" si="48"/>
        <v>930</v>
      </c>
      <c r="E933">
        <f t="shared" si="49"/>
        <v>47500000</v>
      </c>
      <c r="H933" s="62">
        <f t="shared" ref="H933:H963" si="50">H837/10</f>
        <v>2.0499999999999997E-2</v>
      </c>
    </row>
    <row r="934" spans="4:8" x14ac:dyDescent="0.25">
      <c r="D934">
        <f t="shared" si="48"/>
        <v>931</v>
      </c>
      <c r="E934">
        <f t="shared" si="49"/>
        <v>48700000</v>
      </c>
      <c r="H934" s="62">
        <f t="shared" si="50"/>
        <v>0.02</v>
      </c>
    </row>
    <row r="935" spans="4:8" x14ac:dyDescent="0.25">
      <c r="D935">
        <f t="shared" si="48"/>
        <v>932</v>
      </c>
      <c r="E935">
        <f t="shared" si="49"/>
        <v>49900000.000000007</v>
      </c>
      <c r="H935" s="62">
        <f t="shared" si="50"/>
        <v>1.9599999999999999E-2</v>
      </c>
    </row>
    <row r="936" spans="4:8" x14ac:dyDescent="0.25">
      <c r="D936">
        <f t="shared" si="48"/>
        <v>933</v>
      </c>
      <c r="E936">
        <f t="shared" si="49"/>
        <v>51100000.000000007</v>
      </c>
      <c r="H936" s="62">
        <f t="shared" si="50"/>
        <v>1.9099999999999999E-2</v>
      </c>
    </row>
    <row r="937" spans="4:8" x14ac:dyDescent="0.25">
      <c r="D937">
        <f t="shared" si="48"/>
        <v>934</v>
      </c>
      <c r="E937">
        <f t="shared" si="49"/>
        <v>52300000</v>
      </c>
      <c r="H937" s="62">
        <f t="shared" si="50"/>
        <v>1.8700000000000001E-2</v>
      </c>
    </row>
    <row r="938" spans="4:8" x14ac:dyDescent="0.25">
      <c r="D938">
        <f t="shared" si="48"/>
        <v>935</v>
      </c>
      <c r="E938">
        <f t="shared" si="49"/>
        <v>53600000</v>
      </c>
      <c r="H938" s="62">
        <f t="shared" si="50"/>
        <v>1.8200000000000001E-2</v>
      </c>
    </row>
    <row r="939" spans="4:8" x14ac:dyDescent="0.25">
      <c r="D939">
        <f t="shared" si="48"/>
        <v>936</v>
      </c>
      <c r="E939">
        <f t="shared" si="49"/>
        <v>54900000</v>
      </c>
      <c r="H939" s="62">
        <f t="shared" si="50"/>
        <v>1.78E-2</v>
      </c>
    </row>
    <row r="940" spans="4:8" x14ac:dyDescent="0.25">
      <c r="D940">
        <f t="shared" si="48"/>
        <v>937</v>
      </c>
      <c r="E940">
        <f t="shared" si="49"/>
        <v>56200000.000000007</v>
      </c>
      <c r="H940" s="62">
        <f t="shared" si="50"/>
        <v>1.7399999999999999E-2</v>
      </c>
    </row>
    <row r="941" spans="4:8" x14ac:dyDescent="0.25">
      <c r="D941">
        <f t="shared" si="48"/>
        <v>938</v>
      </c>
      <c r="E941">
        <f t="shared" si="49"/>
        <v>57600000</v>
      </c>
      <c r="H941" s="62">
        <f t="shared" si="50"/>
        <v>1.6899999999999998E-2</v>
      </c>
    </row>
    <row r="942" spans="4:8" x14ac:dyDescent="0.25">
      <c r="D942">
        <f t="shared" si="48"/>
        <v>939</v>
      </c>
      <c r="E942">
        <f t="shared" si="49"/>
        <v>59000000</v>
      </c>
      <c r="H942" s="62">
        <f t="shared" si="50"/>
        <v>1.6499999999999997E-2</v>
      </c>
    </row>
    <row r="943" spans="4:8" x14ac:dyDescent="0.25">
      <c r="D943">
        <f t="shared" si="48"/>
        <v>940</v>
      </c>
      <c r="E943">
        <f t="shared" si="49"/>
        <v>60400000</v>
      </c>
      <c r="H943" s="62">
        <f t="shared" si="50"/>
        <v>1.6200000000000006E-2</v>
      </c>
    </row>
    <row r="944" spans="4:8" x14ac:dyDescent="0.25">
      <c r="D944">
        <f t="shared" si="48"/>
        <v>941</v>
      </c>
      <c r="E944">
        <f t="shared" si="49"/>
        <v>61899999.999999993</v>
      </c>
      <c r="H944" s="62">
        <f t="shared" si="50"/>
        <v>1.5800000000000002E-2</v>
      </c>
    </row>
    <row r="945" spans="4:8" x14ac:dyDescent="0.25">
      <c r="D945">
        <f t="shared" si="48"/>
        <v>942</v>
      </c>
      <c r="E945">
        <f t="shared" si="49"/>
        <v>63400000</v>
      </c>
      <c r="H945" s="62">
        <f t="shared" si="50"/>
        <v>1.54E-2</v>
      </c>
    </row>
    <row r="946" spans="4:8" x14ac:dyDescent="0.25">
      <c r="D946">
        <f t="shared" si="48"/>
        <v>943</v>
      </c>
      <c r="E946">
        <f t="shared" si="49"/>
        <v>64900000</v>
      </c>
      <c r="H946" s="62">
        <f t="shared" si="50"/>
        <v>1.4999999999999999E-2</v>
      </c>
    </row>
    <row r="947" spans="4:8" x14ac:dyDescent="0.25">
      <c r="D947">
        <f t="shared" si="48"/>
        <v>944</v>
      </c>
      <c r="E947">
        <f t="shared" si="49"/>
        <v>66500000</v>
      </c>
      <c r="H947" s="62">
        <f t="shared" si="50"/>
        <v>1.47E-2</v>
      </c>
    </row>
    <row r="948" spans="4:8" x14ac:dyDescent="0.25">
      <c r="D948">
        <f t="shared" si="48"/>
        <v>945</v>
      </c>
      <c r="E948">
        <f t="shared" si="49"/>
        <v>68100000</v>
      </c>
      <c r="H948" s="62">
        <f t="shared" si="50"/>
        <v>1.4300000000000002E-2</v>
      </c>
    </row>
    <row r="949" spans="4:8" x14ac:dyDescent="0.25">
      <c r="D949">
        <f t="shared" si="48"/>
        <v>946</v>
      </c>
      <c r="E949">
        <f t="shared" si="49"/>
        <v>69800000</v>
      </c>
      <c r="H949" s="62">
        <f t="shared" si="50"/>
        <v>1.3999999999999999E-2</v>
      </c>
    </row>
    <row r="950" spans="4:8" x14ac:dyDescent="0.25">
      <c r="D950">
        <f t="shared" si="48"/>
        <v>947</v>
      </c>
      <c r="E950">
        <f t="shared" si="49"/>
        <v>71500000</v>
      </c>
      <c r="H950" s="62">
        <f t="shared" si="50"/>
        <v>1.3700000000000007E-2</v>
      </c>
    </row>
    <row r="951" spans="4:8" x14ac:dyDescent="0.25">
      <c r="D951">
        <f t="shared" si="48"/>
        <v>948</v>
      </c>
      <c r="E951">
        <f t="shared" si="49"/>
        <v>73200000</v>
      </c>
      <c r="H951" s="62">
        <f t="shared" si="50"/>
        <v>1.3300000000000001E-2</v>
      </c>
    </row>
    <row r="952" spans="4:8" x14ac:dyDescent="0.25">
      <c r="D952">
        <f t="shared" si="48"/>
        <v>949</v>
      </c>
      <c r="E952">
        <f t="shared" si="49"/>
        <v>75000000</v>
      </c>
      <c r="H952" s="62">
        <f t="shared" si="50"/>
        <v>1.3000000000000001E-2</v>
      </c>
    </row>
    <row r="953" spans="4:8" x14ac:dyDescent="0.25">
      <c r="D953">
        <f t="shared" si="48"/>
        <v>950</v>
      </c>
      <c r="E953">
        <f t="shared" si="49"/>
        <v>76799999.999999985</v>
      </c>
      <c r="H953" s="62">
        <f t="shared" si="50"/>
        <v>1.2699999999999999E-2</v>
      </c>
    </row>
    <row r="954" spans="4:8" x14ac:dyDescent="0.25">
      <c r="D954">
        <f t="shared" si="48"/>
        <v>951</v>
      </c>
      <c r="E954">
        <f t="shared" si="49"/>
        <v>78700000</v>
      </c>
      <c r="H954" s="62">
        <f t="shared" si="50"/>
        <v>1.24E-2</v>
      </c>
    </row>
    <row r="955" spans="4:8" x14ac:dyDescent="0.25">
      <c r="D955">
        <f t="shared" si="48"/>
        <v>952</v>
      </c>
      <c r="E955">
        <f t="shared" si="49"/>
        <v>80600000.000000015</v>
      </c>
      <c r="H955" s="62">
        <f t="shared" si="50"/>
        <v>1.21E-2</v>
      </c>
    </row>
    <row r="956" spans="4:8" x14ac:dyDescent="0.25">
      <c r="D956">
        <f t="shared" si="48"/>
        <v>953</v>
      </c>
      <c r="E956">
        <f t="shared" si="49"/>
        <v>82500000</v>
      </c>
      <c r="H956" s="62">
        <f t="shared" si="50"/>
        <v>1.1800000000000001E-2</v>
      </c>
    </row>
    <row r="957" spans="4:8" x14ac:dyDescent="0.25">
      <c r="D957">
        <f t="shared" si="48"/>
        <v>954</v>
      </c>
      <c r="E957">
        <f t="shared" si="49"/>
        <v>84500000</v>
      </c>
      <c r="H957" s="62">
        <f t="shared" si="50"/>
        <v>1.15E-2</v>
      </c>
    </row>
    <row r="958" spans="4:8" x14ac:dyDescent="0.25">
      <c r="D958">
        <f t="shared" si="48"/>
        <v>955</v>
      </c>
      <c r="E958">
        <f t="shared" si="49"/>
        <v>86600000</v>
      </c>
      <c r="H958" s="62">
        <f t="shared" si="50"/>
        <v>1.1299999999999994E-2</v>
      </c>
    </row>
    <row r="959" spans="4:8" x14ac:dyDescent="0.25">
      <c r="D959">
        <f t="shared" si="48"/>
        <v>956</v>
      </c>
      <c r="E959">
        <f t="shared" si="49"/>
        <v>88699999.999999985</v>
      </c>
      <c r="H959" s="62">
        <f t="shared" si="50"/>
        <v>1.1000000000000001E-2</v>
      </c>
    </row>
    <row r="960" spans="4:8" x14ac:dyDescent="0.25">
      <c r="D960">
        <f t="shared" si="48"/>
        <v>957</v>
      </c>
      <c r="E960">
        <f t="shared" si="49"/>
        <v>90900000</v>
      </c>
      <c r="H960" s="62">
        <f t="shared" si="50"/>
        <v>1.0699999999999998E-2</v>
      </c>
    </row>
    <row r="961" spans="4:8" x14ac:dyDescent="0.25">
      <c r="D961">
        <f t="shared" si="48"/>
        <v>958</v>
      </c>
      <c r="E961">
        <f t="shared" si="49"/>
        <v>93100000.000000015</v>
      </c>
      <c r="H961" s="62">
        <f t="shared" si="50"/>
        <v>1.0500000000000001E-2</v>
      </c>
    </row>
    <row r="962" spans="4:8" x14ac:dyDescent="0.25">
      <c r="D962">
        <f t="shared" si="48"/>
        <v>959</v>
      </c>
      <c r="E962">
        <f t="shared" si="49"/>
        <v>95300000</v>
      </c>
      <c r="H962" s="62">
        <f t="shared" si="50"/>
        <v>1.0200000000000001E-2</v>
      </c>
    </row>
    <row r="963" spans="4:8" x14ac:dyDescent="0.25">
      <c r="D963">
        <f t="shared" si="48"/>
        <v>960</v>
      </c>
      <c r="E963">
        <f t="shared" si="49"/>
        <v>97600000.000000015</v>
      </c>
      <c r="H963" s="62">
        <f t="shared" si="50"/>
        <v>0.01</v>
      </c>
    </row>
  </sheetData>
  <sortState ref="G4:G99">
    <sortCondition descending="1" ref="G4"/>
  </sortState>
  <mergeCells count="1">
    <mergeCell ref="J3:L3"/>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18"/>
  <sheetViews>
    <sheetView showGridLines="0" workbookViewId="0">
      <selection activeCell="N8" sqref="N8"/>
    </sheetView>
  </sheetViews>
  <sheetFormatPr defaultRowHeight="15" x14ac:dyDescent="0.25"/>
  <cols>
    <col min="2" max="14" width="18.7109375" customWidth="1"/>
    <col min="20" max="20" width="20.140625" style="2" customWidth="1"/>
    <col min="21" max="25" width="9.140625" style="2"/>
    <col min="26" max="27" width="12.28515625" style="2" bestFit="1" customWidth="1"/>
    <col min="28" max="28" width="11" style="2" bestFit="1" customWidth="1"/>
    <col min="29" max="29" width="10.140625" style="2" bestFit="1" customWidth="1"/>
    <col min="30" max="33" width="9.140625" style="2"/>
  </cols>
  <sheetData>
    <row r="1" spans="1:15" ht="15.75" thickBot="1" x14ac:dyDescent="0.3">
      <c r="A1" s="1"/>
      <c r="B1" s="1"/>
      <c r="C1" s="1"/>
      <c r="D1" s="1"/>
      <c r="E1" s="1"/>
      <c r="F1" s="1"/>
      <c r="G1" s="1"/>
      <c r="H1" s="1"/>
      <c r="I1" s="1"/>
      <c r="J1" s="1"/>
      <c r="K1" s="1"/>
      <c r="L1" s="1"/>
      <c r="M1" s="1"/>
      <c r="N1" s="1"/>
      <c r="O1" s="1"/>
    </row>
    <row r="2" spans="1:15" ht="47.25" thickBot="1" x14ac:dyDescent="0.75">
      <c r="A2" s="1"/>
      <c r="B2" s="316" t="s">
        <v>79</v>
      </c>
      <c r="C2" s="317"/>
      <c r="D2" s="317"/>
      <c r="E2" s="317"/>
      <c r="F2" s="317"/>
      <c r="G2" s="317"/>
      <c r="H2" s="317"/>
      <c r="I2" s="317"/>
      <c r="J2" s="317"/>
      <c r="K2" s="317"/>
      <c r="L2" s="317"/>
      <c r="M2" s="317"/>
      <c r="N2" s="317"/>
      <c r="O2" s="1"/>
    </row>
    <row r="3" spans="1:15" ht="21.75" customHeight="1" x14ac:dyDescent="0.25">
      <c r="A3" s="1"/>
      <c r="B3" s="313" t="s">
        <v>39</v>
      </c>
      <c r="C3" s="313"/>
      <c r="D3" s="313"/>
      <c r="E3" s="313"/>
      <c r="F3" s="313"/>
      <c r="G3" s="313"/>
      <c r="H3" s="313"/>
      <c r="I3" s="313"/>
      <c r="J3" s="313"/>
      <c r="K3" s="313"/>
      <c r="L3" s="313"/>
      <c r="M3" s="313"/>
      <c r="N3" s="313"/>
      <c r="O3" s="1"/>
    </row>
    <row r="4" spans="1:15" ht="15" customHeight="1" x14ac:dyDescent="0.25">
      <c r="A4" s="1"/>
      <c r="B4" s="314"/>
      <c r="C4" s="314"/>
      <c r="D4" s="314"/>
      <c r="E4" s="314"/>
      <c r="F4" s="314"/>
      <c r="G4" s="314"/>
      <c r="H4" s="314"/>
      <c r="I4" s="314"/>
      <c r="J4" s="314"/>
      <c r="K4" s="314"/>
      <c r="L4" s="314"/>
      <c r="M4" s="314"/>
      <c r="N4" s="314"/>
      <c r="O4" s="1"/>
    </row>
    <row r="5" spans="1:15" ht="15" customHeight="1" x14ac:dyDescent="0.25">
      <c r="A5" s="1"/>
      <c r="B5" s="314"/>
      <c r="C5" s="314"/>
      <c r="D5" s="314"/>
      <c r="E5" s="314"/>
      <c r="F5" s="314"/>
      <c r="G5" s="314"/>
      <c r="H5" s="314"/>
      <c r="I5" s="314"/>
      <c r="J5" s="314"/>
      <c r="K5" s="314"/>
      <c r="L5" s="314"/>
      <c r="M5" s="314"/>
      <c r="N5" s="314"/>
      <c r="O5" s="1"/>
    </row>
    <row r="6" spans="1:15" ht="15" customHeight="1" x14ac:dyDescent="0.25">
      <c r="A6" s="1"/>
      <c r="B6" s="315"/>
      <c r="C6" s="315"/>
      <c r="D6" s="315"/>
      <c r="E6" s="315"/>
      <c r="F6" s="315"/>
      <c r="G6" s="315"/>
      <c r="H6" s="315"/>
      <c r="I6" s="315"/>
      <c r="J6" s="315"/>
      <c r="K6" s="315"/>
      <c r="L6" s="315"/>
      <c r="M6" s="315"/>
      <c r="N6" s="315"/>
      <c r="O6" s="1"/>
    </row>
    <row r="7" spans="1:15" s="3" customFormat="1" ht="60" customHeight="1" x14ac:dyDescent="0.25">
      <c r="A7" s="5"/>
      <c r="B7" s="9" t="s">
        <v>4</v>
      </c>
      <c r="C7" s="9" t="s">
        <v>5</v>
      </c>
      <c r="D7" s="9" t="s">
        <v>6</v>
      </c>
      <c r="E7" s="13" t="s">
        <v>57</v>
      </c>
      <c r="F7" s="14" t="s">
        <v>58</v>
      </c>
      <c r="G7" s="9" t="s">
        <v>11</v>
      </c>
      <c r="H7" s="10" t="s">
        <v>7</v>
      </c>
      <c r="I7" s="10" t="s">
        <v>292</v>
      </c>
      <c r="J7" s="9" t="s">
        <v>8</v>
      </c>
      <c r="K7" s="13" t="s">
        <v>213</v>
      </c>
      <c r="L7" s="13" t="s">
        <v>271</v>
      </c>
      <c r="M7" s="9" t="s">
        <v>9</v>
      </c>
      <c r="N7" s="9" t="s">
        <v>10</v>
      </c>
      <c r="O7" s="5"/>
    </row>
    <row r="8" spans="1:15" s="3" customFormat="1" ht="60" customHeight="1" x14ac:dyDescent="0.25">
      <c r="A8" s="5"/>
      <c r="B8" s="6" t="s">
        <v>14</v>
      </c>
      <c r="C8" s="6" t="s">
        <v>12</v>
      </c>
      <c r="D8" s="6" t="s">
        <v>12</v>
      </c>
      <c r="E8" s="6">
        <v>0.8</v>
      </c>
      <c r="F8" s="192">
        <v>32</v>
      </c>
      <c r="G8" s="6" t="s">
        <v>13</v>
      </c>
      <c r="H8" s="6" t="s">
        <v>15</v>
      </c>
      <c r="I8" s="6" t="s">
        <v>16</v>
      </c>
      <c r="J8" s="6" t="s">
        <v>12</v>
      </c>
      <c r="K8" s="6">
        <v>20</v>
      </c>
      <c r="L8" s="192">
        <f>IF(G8="Yes",3,4)</f>
        <v>4</v>
      </c>
      <c r="M8" s="6" t="s">
        <v>12</v>
      </c>
      <c r="N8" s="63">
        <f>IF(K8=D14,0,0.0001)</f>
        <v>0</v>
      </c>
      <c r="O8" s="5"/>
    </row>
    <row r="9" spans="1:15" x14ac:dyDescent="0.25">
      <c r="A9" s="1"/>
      <c r="B9" s="1"/>
      <c r="C9" s="1"/>
      <c r="D9" s="1"/>
      <c r="E9" s="1"/>
      <c r="F9" s="1"/>
      <c r="G9" s="1"/>
      <c r="H9" s="1"/>
      <c r="I9" s="1"/>
      <c r="J9" s="1"/>
      <c r="K9" s="1"/>
      <c r="L9" s="1"/>
      <c r="M9" s="1"/>
      <c r="N9" s="1"/>
      <c r="O9" s="1"/>
    </row>
    <row r="10" spans="1:15" x14ac:dyDescent="0.25">
      <c r="A10" s="1"/>
      <c r="B10" s="1"/>
      <c r="C10" s="1"/>
      <c r="D10" s="1"/>
      <c r="E10" s="1"/>
      <c r="F10" s="1"/>
      <c r="G10" s="1"/>
      <c r="H10" s="1"/>
      <c r="I10" s="1"/>
      <c r="J10" s="1"/>
      <c r="K10" s="1"/>
      <c r="L10" s="1"/>
      <c r="M10" s="1"/>
      <c r="N10" s="1"/>
      <c r="O10" s="1"/>
    </row>
    <row r="13" spans="1:15" ht="15" hidden="1" customHeight="1" x14ac:dyDescent="0.25"/>
    <row r="14" spans="1:15" ht="21.75" hidden="1" customHeight="1" x14ac:dyDescent="0.25">
      <c r="B14" t="s">
        <v>12</v>
      </c>
      <c r="C14" t="s">
        <v>15</v>
      </c>
      <c r="D14" s="4">
        <v>20</v>
      </c>
      <c r="E14" s="4" t="s">
        <v>18</v>
      </c>
      <c r="L14">
        <v>3</v>
      </c>
    </row>
    <row r="15" spans="1:15" ht="17.25" hidden="1" customHeight="1" x14ac:dyDescent="0.25">
      <c r="B15" t="s">
        <v>13</v>
      </c>
      <c r="C15" t="s">
        <v>16</v>
      </c>
      <c r="D15" s="4">
        <v>400</v>
      </c>
      <c r="E15" s="4" t="s">
        <v>17</v>
      </c>
      <c r="L15">
        <v>4</v>
      </c>
    </row>
    <row r="16" spans="1:15" ht="21" hidden="1" customHeight="1" x14ac:dyDescent="0.25"/>
    <row r="17" spans="4:5" ht="21.75" hidden="1" customHeight="1" x14ac:dyDescent="0.25">
      <c r="D17" t="s">
        <v>14</v>
      </c>
      <c r="E17">
        <v>0.8</v>
      </c>
    </row>
    <row r="18" spans="4:5" ht="21.75" hidden="1" customHeight="1" x14ac:dyDescent="0.25">
      <c r="D18" t="s">
        <v>267</v>
      </c>
      <c r="E18">
        <v>1</v>
      </c>
    </row>
  </sheetData>
  <mergeCells count="2">
    <mergeCell ref="B3:N6"/>
    <mergeCell ref="B2:N2"/>
  </mergeCells>
  <dataValidations count="6">
    <dataValidation type="list" allowBlank="1" showInputMessage="1" showErrorMessage="1" sqref="B8">
      <formula1>$D17:D18</formula1>
    </dataValidation>
    <dataValidation type="list" allowBlank="1" showInputMessage="1" showErrorMessage="1" sqref="M8 G8 C8:D8 J8">
      <formula1>$B$14:$B$15</formula1>
    </dataValidation>
    <dataValidation type="list" allowBlank="1" showInputMessage="1" showErrorMessage="1" sqref="H8:I8">
      <formula1>$C$14:$C$15</formula1>
    </dataValidation>
    <dataValidation type="list" allowBlank="1" showInputMessage="1" showErrorMessage="1" sqref="K8">
      <formula1>$D$14:$D$15</formula1>
    </dataValidation>
    <dataValidation type="list" errorStyle="warning" allowBlank="1" showInputMessage="1" showErrorMessage="1" error="Ilim1 out of range" promptTitle="Ilim1" prompt="Ilim1" sqref="E8">
      <formula1>$E$17:$E$18</formula1>
    </dataValidation>
    <dataValidation type="decimal" errorStyle="warning" allowBlank="1" showInputMessage="1" showErrorMessage="1" error="Max On time out of range" promptTitle="Max On Time" sqref="F8">
      <formula1>28</formula1>
      <formula2>40</formula2>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J58"/>
  <sheetViews>
    <sheetView tabSelected="1" topLeftCell="A40" zoomScale="90" zoomScaleNormal="90" workbookViewId="0">
      <selection activeCell="H52" sqref="H52:I52"/>
    </sheetView>
  </sheetViews>
  <sheetFormatPr defaultRowHeight="21" x14ac:dyDescent="0.25"/>
  <cols>
    <col min="1" max="1" width="9.140625" style="11"/>
    <col min="2" max="4" width="20.7109375" style="11" customWidth="1"/>
    <col min="5" max="6" width="20.7109375" style="211" customWidth="1"/>
    <col min="7" max="8" width="20.7109375" style="11" customWidth="1"/>
    <col min="9" max="10" width="20.7109375" style="211" customWidth="1"/>
    <col min="11" max="19" width="20.7109375" style="11" customWidth="1"/>
    <col min="20" max="20" width="9.140625" style="11" customWidth="1"/>
    <col min="21" max="21" width="12.7109375" style="11" customWidth="1"/>
    <col min="22" max="22" width="18.5703125" style="11" customWidth="1"/>
    <col min="23" max="23" width="9.28515625" style="11" customWidth="1"/>
    <col min="24" max="27" width="9.140625" style="11" customWidth="1"/>
    <col min="28" max="28" width="19.7109375" style="11" customWidth="1"/>
    <col min="29" max="29" width="16.85546875" style="11" customWidth="1"/>
    <col min="30" max="30" width="18.140625" style="11" customWidth="1"/>
    <col min="31" max="31" width="17.28515625" style="11" customWidth="1"/>
    <col min="32" max="32" width="12" style="11" customWidth="1"/>
    <col min="33" max="33" width="12.5703125" style="11" customWidth="1"/>
    <col min="34" max="34" width="11.42578125" style="11" customWidth="1"/>
    <col min="35" max="35" width="11.85546875" style="11" customWidth="1"/>
    <col min="36" max="36" width="10.85546875" style="11" customWidth="1"/>
    <col min="37" max="16384" width="9.140625" style="11"/>
  </cols>
  <sheetData>
    <row r="1" spans="2:36" ht="24.95" customHeight="1" x14ac:dyDescent="0.25">
      <c r="B1" s="29"/>
      <c r="C1" s="29"/>
      <c r="D1" s="29"/>
      <c r="E1" s="28"/>
      <c r="F1" s="28"/>
      <c r="G1" s="29"/>
      <c r="H1" s="29"/>
      <c r="I1" s="28"/>
      <c r="J1" s="28"/>
      <c r="K1" s="29"/>
      <c r="L1" s="29"/>
      <c r="M1" s="29"/>
    </row>
    <row r="2" spans="2:36" ht="51" customHeight="1" x14ac:dyDescent="0.25">
      <c r="B2" s="18"/>
      <c r="C2" s="323" t="s">
        <v>3</v>
      </c>
      <c r="D2" s="323"/>
      <c r="E2" s="323"/>
      <c r="F2" s="323"/>
      <c r="G2" s="323"/>
      <c r="H2" s="323"/>
      <c r="I2" s="323"/>
      <c r="J2" s="323"/>
      <c r="K2" s="323"/>
      <c r="L2" s="19"/>
      <c r="M2" s="18"/>
      <c r="N2" s="16"/>
      <c r="O2" s="16"/>
      <c r="P2" s="16"/>
      <c r="AA2" s="321" t="s">
        <v>155</v>
      </c>
      <c r="AB2" s="321"/>
      <c r="AE2" s="321" t="s">
        <v>156</v>
      </c>
      <c r="AF2" s="321"/>
    </row>
    <row r="3" spans="2:36" ht="24.95" customHeight="1" x14ac:dyDescent="0.25">
      <c r="B3" s="18"/>
      <c r="C3" s="18"/>
      <c r="D3" s="18"/>
      <c r="E3" s="244"/>
      <c r="F3" s="244"/>
      <c r="G3" s="18"/>
      <c r="H3" s="18"/>
      <c r="I3" s="244"/>
      <c r="J3" s="244"/>
      <c r="K3" s="18"/>
      <c r="L3" s="18"/>
      <c r="M3" s="18"/>
      <c r="N3" s="16"/>
      <c r="O3" s="16"/>
      <c r="P3" s="16"/>
      <c r="AA3" s="70" t="s">
        <v>139</v>
      </c>
      <c r="AB3" s="245">
        <f>G27</f>
        <v>133.05142367455224</v>
      </c>
      <c r="AE3" s="70" t="s">
        <v>139</v>
      </c>
      <c r="AF3" s="245">
        <f>F33</f>
        <v>452.47999999999996</v>
      </c>
      <c r="AI3" s="70" t="s">
        <v>139</v>
      </c>
      <c r="AJ3" s="245">
        <f>AB3</f>
        <v>133.05142367455224</v>
      </c>
    </row>
    <row r="4" spans="2:36" ht="24.95" customHeight="1" x14ac:dyDescent="0.25">
      <c r="B4" s="246"/>
      <c r="C4" s="246"/>
      <c r="D4" s="246"/>
      <c r="E4" s="247"/>
      <c r="F4" s="247"/>
      <c r="G4" s="246"/>
      <c r="H4" s="246"/>
      <c r="I4" s="247"/>
      <c r="J4" s="247"/>
      <c r="K4" s="246"/>
      <c r="L4" s="246"/>
      <c r="M4" s="246"/>
      <c r="N4" s="248"/>
      <c r="O4" s="248"/>
      <c r="P4" s="248"/>
      <c r="AA4" s="70" t="s">
        <v>140</v>
      </c>
      <c r="AB4" s="70">
        <f>J8</f>
        <v>13.8</v>
      </c>
      <c r="AE4" s="70" t="s">
        <v>140</v>
      </c>
      <c r="AF4" s="70">
        <f>J8</f>
        <v>13.8</v>
      </c>
      <c r="AI4" s="70" t="s">
        <v>140</v>
      </c>
      <c r="AJ4" s="70">
        <f>AB4</f>
        <v>13.8</v>
      </c>
    </row>
    <row r="5" spans="2:36" ht="36" customHeight="1" x14ac:dyDescent="0.25">
      <c r="B5" s="18"/>
      <c r="C5" s="322" t="s">
        <v>0</v>
      </c>
      <c r="D5" s="322"/>
      <c r="E5" s="322"/>
      <c r="F5" s="322"/>
      <c r="G5" s="322"/>
      <c r="H5" s="322"/>
      <c r="I5" s="322"/>
      <c r="J5" s="322"/>
      <c r="K5" s="322"/>
      <c r="L5" s="17"/>
      <c r="M5" s="18"/>
      <c r="N5" s="16"/>
      <c r="P5" s="16"/>
      <c r="AA5" s="70" t="s">
        <v>141</v>
      </c>
      <c r="AB5" s="249">
        <f>C44*0.000001</f>
        <v>1.1999999999999999E-4</v>
      </c>
      <c r="AE5" s="70" t="s">
        <v>141</v>
      </c>
      <c r="AF5" s="249">
        <f>AB5</f>
        <v>1.1999999999999999E-4</v>
      </c>
      <c r="AI5" s="70" t="s">
        <v>141</v>
      </c>
      <c r="AJ5" s="249">
        <f>AF5</f>
        <v>1.1999999999999999E-4</v>
      </c>
    </row>
    <row r="6" spans="2:36" ht="36" customHeight="1" x14ac:dyDescent="0.25">
      <c r="B6" s="18"/>
      <c r="C6" s="243"/>
      <c r="D6" s="243"/>
      <c r="E6" s="243"/>
      <c r="F6" s="243"/>
      <c r="G6" s="243"/>
      <c r="H6" s="243"/>
      <c r="I6" s="243"/>
      <c r="J6" s="243"/>
      <c r="K6" s="243"/>
      <c r="L6" s="17"/>
      <c r="M6" s="18"/>
      <c r="N6" s="16"/>
      <c r="P6" s="16"/>
      <c r="AA6" s="70"/>
      <c r="AB6" s="249"/>
      <c r="AE6" s="70"/>
      <c r="AF6" s="249"/>
      <c r="AI6" s="70"/>
      <c r="AJ6" s="249"/>
    </row>
    <row r="7" spans="2:36" ht="24.95" customHeight="1" x14ac:dyDescent="0.25">
      <c r="B7" s="246"/>
      <c r="C7" s="318" t="s">
        <v>28</v>
      </c>
      <c r="D7" s="318"/>
      <c r="E7" s="86">
        <v>100</v>
      </c>
      <c r="F7" s="251" t="s">
        <v>36</v>
      </c>
      <c r="G7" s="246"/>
      <c r="H7" s="318" t="s">
        <v>30</v>
      </c>
      <c r="I7" s="318"/>
      <c r="J7" s="252">
        <v>13.8</v>
      </c>
      <c r="K7" s="251" t="s">
        <v>37</v>
      </c>
      <c r="L7" s="246"/>
      <c r="M7" s="29"/>
      <c r="N7" s="248"/>
      <c r="P7" s="253">
        <f>E9*1.414*1.25</f>
        <v>565.59999999999991</v>
      </c>
      <c r="W7" s="11">
        <v>47</v>
      </c>
      <c r="AA7" s="70" t="s">
        <v>142</v>
      </c>
      <c r="AB7" s="70">
        <f>J9</f>
        <v>7.5</v>
      </c>
      <c r="AE7" s="70" t="s">
        <v>142</v>
      </c>
      <c r="AF7" s="70">
        <f>J9</f>
        <v>7.5</v>
      </c>
      <c r="AI7" s="70" t="s">
        <v>142</v>
      </c>
      <c r="AJ7" s="249">
        <f>AF8*J11</f>
        <v>9.1666666666666679</v>
      </c>
    </row>
    <row r="8" spans="2:36" ht="24.95" customHeight="1" x14ac:dyDescent="0.25">
      <c r="B8" s="18"/>
      <c r="C8" s="29"/>
      <c r="D8" s="29"/>
      <c r="E8" s="29"/>
      <c r="F8" s="29"/>
      <c r="G8" s="215"/>
      <c r="H8" s="319"/>
      <c r="I8" s="320"/>
      <c r="J8" s="254">
        <f>J7+E23</f>
        <v>13.8</v>
      </c>
      <c r="K8" s="68" t="s">
        <v>37</v>
      </c>
      <c r="L8" s="18"/>
      <c r="M8" s="29"/>
      <c r="P8" s="11">
        <f>L33*1.25</f>
        <v>98.05</v>
      </c>
      <c r="W8" s="11">
        <v>50</v>
      </c>
      <c r="AA8" s="70"/>
      <c r="AB8" s="249">
        <f>AB7/AB11</f>
        <v>8.3333333333333339</v>
      </c>
      <c r="AE8" s="70"/>
      <c r="AF8" s="249">
        <f>AF7/AF11</f>
        <v>8.3333333333333339</v>
      </c>
      <c r="AI8" s="70"/>
      <c r="AJ8" s="249">
        <f>AJ7</f>
        <v>9.1666666666666679</v>
      </c>
    </row>
    <row r="9" spans="2:36" ht="24.95" customHeight="1" x14ac:dyDescent="0.25">
      <c r="B9" s="29"/>
      <c r="C9" s="318" t="s">
        <v>23</v>
      </c>
      <c r="D9" s="318"/>
      <c r="E9" s="86">
        <v>320</v>
      </c>
      <c r="F9" s="251" t="s">
        <v>36</v>
      </c>
      <c r="G9" s="215"/>
      <c r="H9" s="318" t="s">
        <v>31</v>
      </c>
      <c r="I9" s="318"/>
      <c r="J9" s="86">
        <v>7.5</v>
      </c>
      <c r="K9" s="251" t="s">
        <v>38</v>
      </c>
      <c r="L9" s="29"/>
      <c r="M9" s="29"/>
      <c r="W9" s="11">
        <v>60</v>
      </c>
      <c r="AA9" s="70" t="s">
        <v>143</v>
      </c>
      <c r="AB9" s="249">
        <f>0.5/V30</f>
        <v>3.3877093145664081E-7</v>
      </c>
      <c r="AE9" s="70" t="s">
        <v>143</v>
      </c>
      <c r="AF9" s="249">
        <f>V31</f>
        <v>3.3877093145664081E-7</v>
      </c>
      <c r="AI9" s="70" t="s">
        <v>143</v>
      </c>
      <c r="AJ9" s="249">
        <f>AB9</f>
        <v>3.3877093145664081E-7</v>
      </c>
    </row>
    <row r="10" spans="2:36" ht="24.95" customHeight="1" x14ac:dyDescent="0.25">
      <c r="B10" s="29"/>
      <c r="C10" s="255"/>
      <c r="D10" s="255"/>
      <c r="E10" s="68"/>
      <c r="F10" s="68"/>
      <c r="G10" s="215"/>
      <c r="H10" s="68"/>
      <c r="I10" s="68"/>
      <c r="J10" s="68"/>
      <c r="K10" s="68"/>
      <c r="L10" s="29"/>
      <c r="M10" s="29"/>
      <c r="P10" s="11">
        <f>J9*J11*1.25</f>
        <v>10.3125</v>
      </c>
      <c r="W10" s="11">
        <v>63</v>
      </c>
      <c r="AA10" s="70" t="s">
        <v>144</v>
      </c>
      <c r="AB10" s="70">
        <f>J16</f>
        <v>7</v>
      </c>
      <c r="AE10" s="70" t="s">
        <v>144</v>
      </c>
      <c r="AF10" s="70">
        <f>J16</f>
        <v>7</v>
      </c>
      <c r="AI10" s="70" t="s">
        <v>144</v>
      </c>
      <c r="AJ10" s="70">
        <f>AB10</f>
        <v>7</v>
      </c>
    </row>
    <row r="11" spans="2:36" ht="24.95" customHeight="1" x14ac:dyDescent="0.25">
      <c r="B11" s="29"/>
      <c r="C11" s="318" t="s">
        <v>24</v>
      </c>
      <c r="D11" s="318"/>
      <c r="E11" s="86">
        <v>400</v>
      </c>
      <c r="F11" s="251" t="s">
        <v>27</v>
      </c>
      <c r="G11" s="215"/>
      <c r="H11" s="318" t="s">
        <v>32</v>
      </c>
      <c r="I11" s="318"/>
      <c r="J11" s="106">
        <v>1.1000000000000001</v>
      </c>
      <c r="K11" s="251" t="s">
        <v>29</v>
      </c>
      <c r="L11" s="29"/>
      <c r="M11" s="29"/>
      <c r="P11" s="11">
        <f>E13/(E7*0.636)</f>
        <v>1.6273584905660377</v>
      </c>
      <c r="W11" s="11">
        <v>400</v>
      </c>
      <c r="AA11" s="70" t="s">
        <v>145</v>
      </c>
      <c r="AB11" s="256">
        <f>E15</f>
        <v>0.9</v>
      </c>
      <c r="AE11" s="70" t="s">
        <v>145</v>
      </c>
      <c r="AF11" s="256">
        <f>E15</f>
        <v>0.9</v>
      </c>
      <c r="AI11" s="70" t="s">
        <v>145</v>
      </c>
      <c r="AJ11" s="256">
        <f>AB11</f>
        <v>0.9</v>
      </c>
    </row>
    <row r="12" spans="2:36" ht="24.95" customHeight="1" x14ac:dyDescent="0.25">
      <c r="B12" s="29"/>
      <c r="C12" s="255"/>
      <c r="D12" s="255"/>
      <c r="E12" s="68"/>
      <c r="F12" s="68"/>
      <c r="G12" s="215"/>
      <c r="H12" s="68"/>
      <c r="I12" s="68"/>
      <c r="J12" s="68"/>
      <c r="K12" s="68"/>
      <c r="L12" s="29"/>
      <c r="M12" s="29"/>
      <c r="AA12" s="70"/>
      <c r="AB12" s="70"/>
      <c r="AE12" s="70"/>
      <c r="AF12" s="70"/>
      <c r="AI12" s="70"/>
      <c r="AJ12" s="70"/>
    </row>
    <row r="13" spans="2:36" ht="24.95" customHeight="1" x14ac:dyDescent="0.25">
      <c r="B13" s="29"/>
      <c r="C13" s="318" t="s">
        <v>25</v>
      </c>
      <c r="D13" s="318"/>
      <c r="E13" s="228">
        <f>J8*J9</f>
        <v>103.5</v>
      </c>
      <c r="F13" s="251" t="s">
        <v>26</v>
      </c>
      <c r="G13" s="215"/>
      <c r="H13" s="318" t="s">
        <v>48</v>
      </c>
      <c r="I13" s="318"/>
      <c r="J13" s="324">
        <v>80</v>
      </c>
      <c r="K13" s="348" t="s">
        <v>35</v>
      </c>
      <c r="L13" s="29"/>
      <c r="M13" s="29"/>
      <c r="AA13" s="70"/>
      <c r="AB13" s="70"/>
      <c r="AE13" s="70"/>
      <c r="AF13" s="70"/>
      <c r="AI13" s="70"/>
      <c r="AJ13" s="70"/>
    </row>
    <row r="14" spans="2:36" ht="24.95" customHeight="1" x14ac:dyDescent="0.25">
      <c r="B14" s="29"/>
      <c r="C14" s="68"/>
      <c r="D14" s="68"/>
      <c r="E14" s="68"/>
      <c r="F14" s="68"/>
      <c r="G14" s="215"/>
      <c r="H14" s="318" t="s">
        <v>42</v>
      </c>
      <c r="I14" s="318"/>
      <c r="J14" s="325"/>
      <c r="K14" s="349"/>
      <c r="L14" s="29"/>
      <c r="M14" s="29"/>
      <c r="AA14" s="70" t="s">
        <v>146</v>
      </c>
      <c r="AB14" s="70">
        <f>2*((AB8*AB4/AB3)+(AB8/AB10))</f>
        <v>4.109607314871667</v>
      </c>
      <c r="AE14" s="70" t="s">
        <v>146</v>
      </c>
      <c r="AF14" s="70">
        <f>2*((AF8*AF4/AF3)+(AF8/AF10))</f>
        <v>2.8892621404997643</v>
      </c>
      <c r="AI14" s="70" t="s">
        <v>146</v>
      </c>
      <c r="AJ14" s="70">
        <f>2*((AJ8*AJ4/AJ3)+(AJ8/AJ10))</f>
        <v>4.520568046358834</v>
      </c>
    </row>
    <row r="15" spans="2:36" ht="24.95" customHeight="1" x14ac:dyDescent="0.25">
      <c r="B15" s="29"/>
      <c r="C15" s="318" t="s">
        <v>44</v>
      </c>
      <c r="D15" s="318"/>
      <c r="E15" s="106">
        <v>0.9</v>
      </c>
      <c r="F15" s="251" t="s">
        <v>29</v>
      </c>
      <c r="G15" s="215"/>
      <c r="H15" s="68"/>
      <c r="I15" s="68"/>
      <c r="J15" s="68"/>
      <c r="K15" s="68"/>
      <c r="L15" s="29"/>
      <c r="M15" s="29"/>
      <c r="T15" s="11" t="s">
        <v>127</v>
      </c>
      <c r="U15" s="257">
        <f>AF18</f>
        <v>3.098798498622803</v>
      </c>
      <c r="AA15" s="70" t="s">
        <v>147</v>
      </c>
      <c r="AB15" s="249">
        <f>2*AB8*AB4*AB9/AB5</f>
        <v>0.6493109519585617</v>
      </c>
      <c r="AE15" s="70" t="s">
        <v>147</v>
      </c>
      <c r="AF15" s="249">
        <f>2*AF8*AF4*AF9/AF5</f>
        <v>0.6493109519585617</v>
      </c>
      <c r="AI15" s="70" t="s">
        <v>147</v>
      </c>
      <c r="AJ15" s="249">
        <f>2*AJ8*AJ4*AJ9/AJ5</f>
        <v>0.71424204715441786</v>
      </c>
    </row>
    <row r="16" spans="2:36" ht="24.95" customHeight="1" x14ac:dyDescent="0.25">
      <c r="B16" s="29"/>
      <c r="C16" s="68"/>
      <c r="D16" s="68"/>
      <c r="E16" s="68"/>
      <c r="F16" s="68"/>
      <c r="G16" s="215"/>
      <c r="H16" s="318" t="s">
        <v>43</v>
      </c>
      <c r="I16" s="318"/>
      <c r="J16" s="86">
        <v>7</v>
      </c>
      <c r="K16" s="251"/>
      <c r="L16" s="29"/>
      <c r="M16" s="29"/>
      <c r="AA16" s="70"/>
      <c r="AB16" s="70"/>
      <c r="AE16" s="70"/>
      <c r="AF16" s="70"/>
      <c r="AI16" s="70"/>
      <c r="AJ16" s="70"/>
    </row>
    <row r="17" spans="2:36" ht="24.95" customHeight="1" x14ac:dyDescent="0.25">
      <c r="B17" s="29"/>
      <c r="C17" s="318" t="s">
        <v>33</v>
      </c>
      <c r="D17" s="318"/>
      <c r="E17" s="86">
        <v>125</v>
      </c>
      <c r="F17" s="251" t="s">
        <v>34</v>
      </c>
      <c r="G17" s="215"/>
      <c r="H17" s="215"/>
      <c r="I17" s="68"/>
      <c r="J17" s="68"/>
      <c r="K17" s="215"/>
      <c r="L17" s="29"/>
      <c r="M17" s="29"/>
      <c r="AA17" s="70"/>
      <c r="AB17" s="70"/>
      <c r="AE17" s="70"/>
      <c r="AF17" s="70"/>
      <c r="AI17" s="70"/>
      <c r="AJ17" s="70"/>
    </row>
    <row r="18" spans="2:36" ht="24.95" customHeight="1" x14ac:dyDescent="0.25">
      <c r="B18" s="29"/>
      <c r="C18" s="68"/>
      <c r="D18" s="68"/>
      <c r="E18" s="68"/>
      <c r="F18" s="68"/>
      <c r="G18" s="215"/>
      <c r="H18" s="327" t="s">
        <v>68</v>
      </c>
      <c r="I18" s="328"/>
      <c r="J18" s="331">
        <v>0.01</v>
      </c>
      <c r="K18" s="357" t="s">
        <v>29</v>
      </c>
      <c r="L18" s="29"/>
      <c r="M18" s="29"/>
      <c r="T18" s="11" t="s">
        <v>125</v>
      </c>
      <c r="U18" s="11">
        <f>(J27-AB3*0.000000125/AB5)*'Step 1 - Device Parameters'!L8*'Step 3 - Component Selection'!D7</f>
        <v>3.0959387268704783</v>
      </c>
      <c r="AA18" s="70" t="s">
        <v>148</v>
      </c>
      <c r="AB18" s="249">
        <f>(AB14/2)+SQRT((AB14^2/4)+AB15)</f>
        <v>4.2619577124510784</v>
      </c>
      <c r="AE18" s="70" t="s">
        <v>148</v>
      </c>
      <c r="AF18" s="249">
        <f>(AF14/2)+SQRT((AF14^2/4)+AF15)</f>
        <v>3.098798498622803</v>
      </c>
      <c r="AI18" s="70" t="s">
        <v>148</v>
      </c>
      <c r="AJ18" s="249">
        <f>(AJ14/2)+SQRT((AJ14^2/4)+AJ15)</f>
        <v>4.6733994188027896</v>
      </c>
    </row>
    <row r="19" spans="2:36" ht="24.95" customHeight="1" x14ac:dyDescent="0.25">
      <c r="B19" s="29"/>
      <c r="C19" s="318" t="s">
        <v>40</v>
      </c>
      <c r="D19" s="318"/>
      <c r="E19" s="222">
        <f>1000/E11</f>
        <v>2.5</v>
      </c>
      <c r="F19" s="251" t="s">
        <v>41</v>
      </c>
      <c r="G19" s="215"/>
      <c r="H19" s="330" t="s">
        <v>78</v>
      </c>
      <c r="I19" s="328"/>
      <c r="J19" s="332"/>
      <c r="K19" s="358"/>
      <c r="L19" s="29"/>
      <c r="M19" s="29"/>
      <c r="T19" s="11" t="s">
        <v>126</v>
      </c>
      <c r="U19" s="257">
        <f>(U15-AF3*0.000000125/AF5)*'Step 1 - Device Parameters'!L8*'Step 3 - Component Selection'!D7</f>
        <v>1.9727761503506034</v>
      </c>
      <c r="AA19" s="70"/>
      <c r="AB19" s="70"/>
      <c r="AE19" s="70"/>
      <c r="AF19" s="70"/>
      <c r="AI19" s="70"/>
      <c r="AJ19" s="70"/>
    </row>
    <row r="20" spans="2:36" ht="24.95" customHeight="1" x14ac:dyDescent="0.25">
      <c r="B20" s="29"/>
      <c r="C20" s="69"/>
      <c r="D20" s="69"/>
      <c r="E20" s="69"/>
      <c r="F20" s="69"/>
      <c r="G20" s="215"/>
      <c r="H20" s="327" t="s">
        <v>69</v>
      </c>
      <c r="I20" s="328"/>
      <c r="J20" s="86">
        <v>33</v>
      </c>
      <c r="K20" s="251" t="s">
        <v>71</v>
      </c>
      <c r="L20" s="29"/>
      <c r="M20" s="29"/>
      <c r="W20" s="11" t="s">
        <v>128</v>
      </c>
      <c r="X20" s="11" t="s">
        <v>129</v>
      </c>
      <c r="AA20" s="70"/>
      <c r="AB20" s="70"/>
      <c r="AE20" s="70"/>
      <c r="AF20" s="70"/>
      <c r="AI20" s="70"/>
      <c r="AJ20" s="70"/>
    </row>
    <row r="21" spans="2:36" ht="24.95" customHeight="1" x14ac:dyDescent="0.25">
      <c r="B21" s="29"/>
      <c r="C21" s="327" t="s">
        <v>77</v>
      </c>
      <c r="D21" s="328"/>
      <c r="E21" s="26">
        <f>E9*1.414</f>
        <v>452.47999999999996</v>
      </c>
      <c r="F21" s="251" t="s">
        <v>35</v>
      </c>
      <c r="G21" s="215"/>
      <c r="H21" s="327" t="s">
        <v>70</v>
      </c>
      <c r="I21" s="328"/>
      <c r="J21" s="227">
        <f>15000/(3.1415*J20*D27)</f>
        <v>1.3712351512089194</v>
      </c>
      <c r="K21" s="251" t="s">
        <v>72</v>
      </c>
      <c r="L21" s="29"/>
      <c r="M21" s="29"/>
      <c r="W21" s="11">
        <f>1+SUM(W22:W26)</f>
        <v>1</v>
      </c>
      <c r="X21" s="11">
        <f>1+SUM(X22:X26)</f>
        <v>1</v>
      </c>
      <c r="AA21" s="70" t="s">
        <v>149</v>
      </c>
      <c r="AB21" s="249">
        <f>AB5*AB18/AB3</f>
        <v>3.8438891623220386E-6</v>
      </c>
      <c r="AE21" s="70" t="s">
        <v>149</v>
      </c>
      <c r="AF21" s="249">
        <f>AF5*AF18/AF3</f>
        <v>8.2181714072386921E-7</v>
      </c>
      <c r="AI21" s="70" t="s">
        <v>149</v>
      </c>
      <c r="AJ21" s="249">
        <f>AJ5*AJ18/AJ3</f>
        <v>4.2149712852985903E-6</v>
      </c>
    </row>
    <row r="22" spans="2:36" ht="24.95" customHeight="1" x14ac:dyDescent="0.25">
      <c r="B22" s="29"/>
      <c r="C22" s="215"/>
      <c r="D22" s="215"/>
      <c r="E22" s="68"/>
      <c r="F22" s="68"/>
      <c r="G22" s="215"/>
      <c r="H22" s="327" t="s">
        <v>122</v>
      </c>
      <c r="I22" s="328"/>
      <c r="J22" s="222">
        <f>Q27^2/(1000*J20)</f>
        <v>1.8789084112082506</v>
      </c>
      <c r="K22" s="348" t="s">
        <v>26</v>
      </c>
      <c r="L22" s="29"/>
      <c r="M22" s="29"/>
      <c r="P22" s="11" t="s">
        <v>116</v>
      </c>
      <c r="Q22" s="11">
        <f>J18*C44</f>
        <v>1.2</v>
      </c>
      <c r="T22" s="11">
        <f>U22+0.6</f>
        <v>2</v>
      </c>
      <c r="U22" s="11">
        <f>1.4*('Step 1 - Device Parameters'!L8/4)</f>
        <v>1.4</v>
      </c>
      <c r="V22" s="11">
        <v>2</v>
      </c>
      <c r="W22" s="11">
        <f>IF(U22&lt;$U$18,0,1)</f>
        <v>0</v>
      </c>
      <c r="X22" s="11">
        <f>IF($U$19&lt;U22,1,0)</f>
        <v>0</v>
      </c>
      <c r="AA22" s="70"/>
      <c r="AB22" s="70"/>
      <c r="AE22" s="70"/>
      <c r="AF22" s="70"/>
      <c r="AI22" s="70"/>
      <c r="AJ22" s="70"/>
    </row>
    <row r="23" spans="2:36" ht="24.95" customHeight="1" x14ac:dyDescent="0.25">
      <c r="B23" s="29"/>
      <c r="C23" s="318" t="s">
        <v>327</v>
      </c>
      <c r="D23" s="318"/>
      <c r="E23" s="86">
        <v>0</v>
      </c>
      <c r="F23" s="251" t="s">
        <v>35</v>
      </c>
      <c r="G23" s="215"/>
      <c r="H23" s="327" t="s">
        <v>123</v>
      </c>
      <c r="I23" s="328"/>
      <c r="J23" s="212">
        <f>Q43^2/(1000*J20)</f>
        <v>1.8789084112082506</v>
      </c>
      <c r="K23" s="349"/>
      <c r="L23" s="29"/>
      <c r="M23" s="29"/>
      <c r="P23" s="11" t="s">
        <v>117</v>
      </c>
      <c r="Q23" s="41">
        <f>J27</f>
        <v>4.2619577124510784</v>
      </c>
      <c r="T23" s="11">
        <f t="shared" ref="T23:T26" si="0">U23+0.6</f>
        <v>1.7999999999999998</v>
      </c>
      <c r="U23" s="11">
        <f>1.2*('Step 1 - Device Parameters'!L8/4)</f>
        <v>1.2</v>
      </c>
      <c r="V23" s="11">
        <v>3</v>
      </c>
      <c r="W23" s="11">
        <f t="shared" ref="W23:W26" si="1">IF(U23&lt;$U$18,0,1)</f>
        <v>0</v>
      </c>
      <c r="X23" s="11">
        <f t="shared" ref="X23:X26" si="2">IF($U$19&lt;U23,1,0)</f>
        <v>0</v>
      </c>
      <c r="AA23" s="70" t="s">
        <v>150</v>
      </c>
      <c r="AB23" s="70">
        <f>AB5*AB18/(AB10*AB4)</f>
        <v>5.2943574067715246E-6</v>
      </c>
      <c r="AE23" s="70" t="s">
        <v>150</v>
      </c>
      <c r="AF23" s="70">
        <f>AF5*AF18/(AF10*AF4)</f>
        <v>3.8494391287239781E-6</v>
      </c>
      <c r="AI23" s="70" t="s">
        <v>150</v>
      </c>
      <c r="AJ23" s="70">
        <f>AJ5*AJ18/(AJ10*AJ4)</f>
        <v>5.8054651165252034E-6</v>
      </c>
    </row>
    <row r="24" spans="2:36" ht="24.95" customHeight="1" x14ac:dyDescent="0.25">
      <c r="B24" s="29"/>
      <c r="C24" s="258"/>
      <c r="D24" s="258"/>
      <c r="E24" s="259"/>
      <c r="F24" s="259"/>
      <c r="G24" s="258"/>
      <c r="H24" s="258"/>
      <c r="I24" s="259"/>
      <c r="J24" s="259"/>
      <c r="K24" s="258"/>
      <c r="L24" s="29"/>
      <c r="M24" s="29"/>
      <c r="P24" s="11" t="s">
        <v>118</v>
      </c>
      <c r="Q24" s="11">
        <f>D27</f>
        <v>105.51842918322598</v>
      </c>
      <c r="T24" s="11">
        <f t="shared" si="0"/>
        <v>1.7000000000000002</v>
      </c>
      <c r="U24" s="11">
        <f>1.1*('Step 1 - Device Parameters'!L8/4)</f>
        <v>1.1000000000000001</v>
      </c>
      <c r="V24" s="11">
        <v>4</v>
      </c>
      <c r="W24" s="11">
        <f t="shared" si="1"/>
        <v>0</v>
      </c>
      <c r="X24" s="11">
        <f t="shared" si="2"/>
        <v>0</v>
      </c>
      <c r="AA24" s="70"/>
      <c r="AB24" s="70"/>
      <c r="AE24" s="70"/>
      <c r="AF24" s="70"/>
      <c r="AI24" s="70"/>
      <c r="AJ24" s="70"/>
    </row>
    <row r="25" spans="2:36" ht="36" customHeight="1" x14ac:dyDescent="0.25">
      <c r="B25" s="29"/>
      <c r="C25" s="329" t="s">
        <v>45</v>
      </c>
      <c r="D25" s="329"/>
      <c r="E25" s="329"/>
      <c r="F25" s="329"/>
      <c r="G25" s="329"/>
      <c r="H25" s="329"/>
      <c r="I25" s="329"/>
      <c r="J25" s="329"/>
      <c r="K25" s="329"/>
      <c r="L25" s="329"/>
      <c r="M25" s="29"/>
      <c r="P25" s="11" t="s">
        <v>119</v>
      </c>
      <c r="Q25" s="11">
        <f>J20*Q23^2*0.5*Q24*Q22</f>
        <v>37950.000000000007</v>
      </c>
      <c r="T25" s="11">
        <f t="shared" si="0"/>
        <v>1.6</v>
      </c>
      <c r="U25" s="11">
        <f>1*('Step 1 - Device Parameters'!L8/4)</f>
        <v>1</v>
      </c>
      <c r="V25" s="11">
        <v>5</v>
      </c>
      <c r="W25" s="11">
        <f t="shared" si="1"/>
        <v>0</v>
      </c>
      <c r="X25" s="11">
        <f t="shared" si="2"/>
        <v>0</v>
      </c>
      <c r="AA25" s="70"/>
      <c r="AB25" s="70"/>
      <c r="AE25" s="70"/>
      <c r="AF25" s="70"/>
      <c r="AI25" s="70"/>
      <c r="AJ25" s="70"/>
    </row>
    <row r="26" spans="2:36" s="12" customFormat="1" ht="51.95" customHeight="1" x14ac:dyDescent="0.25">
      <c r="B26" s="27"/>
      <c r="C26" s="24" t="s">
        <v>46</v>
      </c>
      <c r="D26" s="24" t="s">
        <v>47</v>
      </c>
      <c r="E26" s="24" t="s">
        <v>51</v>
      </c>
      <c r="F26" s="24" t="s">
        <v>52</v>
      </c>
      <c r="G26" s="24" t="s">
        <v>53</v>
      </c>
      <c r="H26" s="213" t="s">
        <v>304</v>
      </c>
      <c r="I26" s="213" t="s">
        <v>49</v>
      </c>
      <c r="J26" s="213" t="s">
        <v>50</v>
      </c>
      <c r="K26" s="213" t="s">
        <v>55</v>
      </c>
      <c r="L26" s="213" t="s">
        <v>56</v>
      </c>
      <c r="M26" s="27"/>
      <c r="P26" s="12" t="s">
        <v>121</v>
      </c>
      <c r="Q26" s="12">
        <f>J8*J16</f>
        <v>96.600000000000009</v>
      </c>
      <c r="T26" s="11">
        <f t="shared" si="0"/>
        <v>1.5</v>
      </c>
      <c r="U26" s="12">
        <f>0.9*('Step 1 - Device Parameters'!L8/4)</f>
        <v>0.9</v>
      </c>
      <c r="V26" s="12">
        <v>6</v>
      </c>
      <c r="W26" s="11">
        <f t="shared" si="1"/>
        <v>0</v>
      </c>
      <c r="X26" s="11">
        <f t="shared" si="2"/>
        <v>0</v>
      </c>
      <c r="Y26" s="11"/>
      <c r="AA26" s="70" t="s">
        <v>151</v>
      </c>
      <c r="AB26" s="249">
        <f>AB9+AB21+AB23</f>
        <v>9.4770175005502042E-6</v>
      </c>
      <c r="AE26" s="70" t="s">
        <v>151</v>
      </c>
      <c r="AF26" s="249">
        <f>AF9+AF21+AF23</f>
        <v>5.0100272009044879E-6</v>
      </c>
      <c r="AI26" s="70" t="s">
        <v>151</v>
      </c>
      <c r="AJ26" s="249">
        <f>AJ9+AJ21+AJ23</f>
        <v>1.0359207333280434E-5</v>
      </c>
    </row>
    <row r="27" spans="2:36" s="211" customFormat="1" ht="24.95" customHeight="1" x14ac:dyDescent="0.25">
      <c r="B27" s="28"/>
      <c r="C27" s="23">
        <f>AB33</f>
        <v>0.40560114636264788</v>
      </c>
      <c r="D27" s="26">
        <f>AB27</f>
        <v>105.51842918322598</v>
      </c>
      <c r="E27" s="212">
        <f>AB21*1000000</f>
        <v>3.8438891623220384</v>
      </c>
      <c r="F27" s="26">
        <f>E7*1.414</f>
        <v>141.4</v>
      </c>
      <c r="G27" s="26">
        <f>'Cbulk Calc'!E13</f>
        <v>133.05142367455224</v>
      </c>
      <c r="H27" s="26">
        <f>700*E19*E13/(E15*(F27^2-J13^2))</f>
        <v>14.80436899917316</v>
      </c>
      <c r="I27" s="222">
        <f>0.577*J27*SQRT(C27)</f>
        <v>1.566154260793575</v>
      </c>
      <c r="J27" s="222">
        <f>AB18</f>
        <v>4.2619577124510784</v>
      </c>
      <c r="K27" s="220">
        <f>F27+Q27</f>
        <v>390.4059789841848</v>
      </c>
      <c r="L27" s="220">
        <f>J8+F27/J16</f>
        <v>34</v>
      </c>
      <c r="M27" s="30"/>
      <c r="P27" s="211" t="s">
        <v>120</v>
      </c>
      <c r="Q27" s="211">
        <f>(Q26/2)+SQRT(Q25+(Q26^2*0.25))</f>
        <v>249.00597898418476</v>
      </c>
      <c r="W27" s="11"/>
      <c r="X27" s="11">
        <f t="shared" ref="X27" si="3">IF(AND(T27&gt;U$19,U$19&gt;U27),1,0)</f>
        <v>0</v>
      </c>
      <c r="Y27" s="11"/>
      <c r="AA27" s="70" t="s">
        <v>152</v>
      </c>
      <c r="AB27" s="245">
        <f>0.001/AB26</f>
        <v>105.51842918322598</v>
      </c>
      <c r="AE27" s="70" t="s">
        <v>152</v>
      </c>
      <c r="AF27" s="245">
        <f>0.001/AF26</f>
        <v>199.59971471202081</v>
      </c>
      <c r="AI27" s="70" t="s">
        <v>152</v>
      </c>
      <c r="AJ27" s="245">
        <f>0.001/AJ26</f>
        <v>96.532482440751721</v>
      </c>
    </row>
    <row r="28" spans="2:36" s="211" customFormat="1" ht="42.75" customHeight="1" x14ac:dyDescent="0.25">
      <c r="B28" s="28"/>
      <c r="C28" s="49"/>
      <c r="D28" s="50"/>
      <c r="E28" s="51"/>
      <c r="F28" s="50"/>
      <c r="G28" s="67"/>
      <c r="H28" s="48" t="s">
        <v>306</v>
      </c>
      <c r="I28" s="51"/>
      <c r="J28" s="51"/>
      <c r="K28" s="52"/>
      <c r="L28" s="52"/>
      <c r="M28" s="30"/>
      <c r="W28" s="11"/>
      <c r="X28" s="11"/>
      <c r="Y28" s="11"/>
      <c r="AA28" s="70"/>
      <c r="AB28" s="245"/>
      <c r="AE28" s="70"/>
      <c r="AF28" s="245"/>
      <c r="AI28" s="70"/>
      <c r="AJ28" s="245"/>
    </row>
    <row r="29" spans="2:36" s="211" customFormat="1" ht="24.95" customHeight="1" x14ac:dyDescent="0.25">
      <c r="B29" s="28"/>
      <c r="C29" s="49"/>
      <c r="D29" s="50"/>
      <c r="E29" s="51"/>
      <c r="F29" s="50"/>
      <c r="G29" s="67"/>
      <c r="H29" s="270">
        <v>100</v>
      </c>
      <c r="I29" s="51"/>
      <c r="J29" s="51"/>
      <c r="K29" s="52"/>
      <c r="L29" s="52"/>
      <c r="M29" s="30"/>
      <c r="W29" s="11"/>
      <c r="X29" s="11"/>
      <c r="Y29" s="11"/>
      <c r="AA29" s="70"/>
      <c r="AB29" s="245"/>
      <c r="AE29" s="70"/>
      <c r="AF29" s="245"/>
      <c r="AI29" s="70"/>
      <c r="AJ29" s="245"/>
    </row>
    <row r="30" spans="2:36" ht="51.95" customHeight="1" x14ac:dyDescent="0.25">
      <c r="B30" s="29"/>
      <c r="C30" s="260"/>
      <c r="D30" s="260"/>
      <c r="E30" s="40" t="str">
        <f>IF(E27&gt;'Step 1 - Device Parameters'!F8,"Maximum On Time Reached","")</f>
        <v/>
      </c>
      <c r="F30" s="261"/>
      <c r="G30" s="260"/>
      <c r="H30" s="260"/>
      <c r="I30" s="261"/>
      <c r="J30" s="261"/>
      <c r="K30" s="260"/>
      <c r="L30" s="260"/>
      <c r="M30" s="29"/>
      <c r="T30" s="321" t="s">
        <v>135</v>
      </c>
      <c r="U30" s="321"/>
      <c r="V30" s="11">
        <f>1/(6.28*SQRT(C44*(I39+J39)*0.000000000000000001))</f>
        <v>1475923.5624205109</v>
      </c>
      <c r="AA30" s="70"/>
      <c r="AB30" s="70"/>
      <c r="AE30" s="70"/>
      <c r="AF30" s="70"/>
      <c r="AI30" s="70"/>
      <c r="AJ30" s="70"/>
    </row>
    <row r="31" spans="2:36" ht="36" customHeight="1" x14ac:dyDescent="0.25">
      <c r="B31" s="29"/>
      <c r="C31" s="329" t="s">
        <v>59</v>
      </c>
      <c r="D31" s="329"/>
      <c r="E31" s="329"/>
      <c r="F31" s="329"/>
      <c r="G31" s="329"/>
      <c r="H31" s="329"/>
      <c r="I31" s="329"/>
      <c r="J31" s="329"/>
      <c r="K31" s="329"/>
      <c r="L31" s="329"/>
      <c r="M31" s="29"/>
      <c r="T31" s="321" t="s">
        <v>136</v>
      </c>
      <c r="U31" s="321"/>
      <c r="V31" s="11">
        <f>(0.5+H33-1)/V30</f>
        <v>3.3877093145664081E-7</v>
      </c>
      <c r="W31" s="11" t="s">
        <v>138</v>
      </c>
      <c r="AA31" s="70" t="s">
        <v>153</v>
      </c>
      <c r="AB31" s="249">
        <f>0.5*(1/AB26)*AB5*AB18^2</f>
        <v>115.00000000000001</v>
      </c>
      <c r="AE31" s="70" t="s">
        <v>153</v>
      </c>
      <c r="AF31" s="249">
        <f>0.5*(1/AF26)*AF5*AF18^2</f>
        <v>115.00000000000004</v>
      </c>
      <c r="AI31" s="70" t="s">
        <v>153</v>
      </c>
      <c r="AJ31" s="249">
        <f>0.5*(1/AJ26)*AJ5*AJ18^2</f>
        <v>126.50000000000001</v>
      </c>
    </row>
    <row r="32" spans="2:36" ht="51.95" customHeight="1" x14ac:dyDescent="0.25">
      <c r="B32" s="29"/>
      <c r="C32" s="24" t="s">
        <v>46</v>
      </c>
      <c r="D32" s="24" t="s">
        <v>47</v>
      </c>
      <c r="E32" s="24" t="s">
        <v>51</v>
      </c>
      <c r="F32" s="24" t="s">
        <v>52</v>
      </c>
      <c r="G32" s="24" t="s">
        <v>53</v>
      </c>
      <c r="H32" s="53" t="s">
        <v>171</v>
      </c>
      <c r="I32" s="213" t="s">
        <v>49</v>
      </c>
      <c r="J32" s="213" t="s">
        <v>50</v>
      </c>
      <c r="K32" s="213" t="s">
        <v>55</v>
      </c>
      <c r="L32" s="213" t="s">
        <v>56</v>
      </c>
      <c r="M32" s="27"/>
      <c r="P32" s="11" t="s">
        <v>116</v>
      </c>
      <c r="Q32" s="11">
        <f>Q22</f>
        <v>1.2</v>
      </c>
      <c r="AA32" s="70"/>
      <c r="AB32" s="70"/>
      <c r="AE32" s="70"/>
      <c r="AF32" s="70"/>
      <c r="AI32" s="70"/>
      <c r="AJ32" s="70"/>
    </row>
    <row r="33" spans="2:36" ht="24.95" customHeight="1" x14ac:dyDescent="0.25">
      <c r="B33" s="29"/>
      <c r="C33" s="23">
        <f>AF33</f>
        <v>0.16403446683393297</v>
      </c>
      <c r="D33" s="26">
        <f>AF27</f>
        <v>199.59971471202081</v>
      </c>
      <c r="E33" s="212">
        <f>AF21*1000000</f>
        <v>0.82181714072386924</v>
      </c>
      <c r="F33" s="26">
        <f>E9*1.414</f>
        <v>452.47999999999996</v>
      </c>
      <c r="G33" s="45">
        <f>SQRT(F33^2-((1000*E13*E19)/(H27*E15)))</f>
        <v>430.4860131791242</v>
      </c>
      <c r="H33" s="270">
        <v>1</v>
      </c>
      <c r="I33" s="46">
        <f>0.577*J33*SQRT(C33)</f>
        <v>0.72416362408720136</v>
      </c>
      <c r="J33" s="222">
        <f>AF18</f>
        <v>3.098798498622803</v>
      </c>
      <c r="K33" s="220">
        <f>F33+Q43</f>
        <v>701.48597898418473</v>
      </c>
      <c r="L33" s="220">
        <f>J8+F33/J16</f>
        <v>78.44</v>
      </c>
      <c r="M33" s="30"/>
      <c r="P33" s="11" t="s">
        <v>117</v>
      </c>
      <c r="Q33" s="41">
        <f>J33</f>
        <v>3.098798498622803</v>
      </c>
      <c r="AA33" s="70" t="s">
        <v>154</v>
      </c>
      <c r="AB33" s="262">
        <f>AB21/AB26</f>
        <v>0.40560114636264788</v>
      </c>
      <c r="AE33" s="70" t="s">
        <v>154</v>
      </c>
      <c r="AF33" s="262">
        <f>AF21/AF26</f>
        <v>0.16403446683393297</v>
      </c>
      <c r="AI33" s="70" t="s">
        <v>154</v>
      </c>
      <c r="AJ33" s="262">
        <f>AJ21/AJ26</f>
        <v>0.40688164158635892</v>
      </c>
    </row>
    <row r="34" spans="2:36" ht="51.95" customHeight="1" x14ac:dyDescent="0.25">
      <c r="B34" s="29"/>
      <c r="C34" s="49"/>
      <c r="D34" s="210" t="str">
        <f>IF(D33&gt;'Step 3 - Component Selection'!D19,"Fmax Limited","")</f>
        <v>Fmax Limited</v>
      </c>
      <c r="E34" s="51"/>
      <c r="F34" s="50"/>
      <c r="G34" s="52"/>
      <c r="H34" s="47" t="s">
        <v>170</v>
      </c>
      <c r="I34" s="337" t="s">
        <v>262</v>
      </c>
      <c r="J34" s="338"/>
      <c r="K34" s="338"/>
      <c r="L34" s="338"/>
      <c r="M34" s="30"/>
      <c r="Q34" s="41"/>
      <c r="AA34" s="70"/>
      <c r="AB34" s="262"/>
      <c r="AE34" s="70"/>
      <c r="AF34" s="262"/>
      <c r="AI34" s="70"/>
      <c r="AJ34" s="262"/>
    </row>
    <row r="35" spans="2:36" ht="24.95" customHeight="1" x14ac:dyDescent="0.25">
      <c r="B35" s="29"/>
      <c r="C35" s="49"/>
      <c r="D35" s="50"/>
      <c r="E35" s="51"/>
      <c r="F35" s="50"/>
      <c r="G35" s="52"/>
      <c r="H35" s="48">
        <f>X21</f>
        <v>1</v>
      </c>
      <c r="I35" s="339"/>
      <c r="J35" s="340"/>
      <c r="K35" s="340"/>
      <c r="L35" s="340"/>
      <c r="M35" s="30"/>
      <c r="Q35" s="41"/>
      <c r="AA35" s="70"/>
      <c r="AB35" s="262"/>
      <c r="AE35" s="70"/>
      <c r="AF35" s="262"/>
      <c r="AI35" s="70"/>
      <c r="AJ35" s="262"/>
    </row>
    <row r="36" spans="2:36" ht="24.95" customHeight="1" x14ac:dyDescent="0.25">
      <c r="B36" s="29"/>
      <c r="C36" s="29"/>
      <c r="D36" s="29"/>
      <c r="E36" s="28"/>
      <c r="F36" s="40" t="str">
        <f>IF(F33&gt;700,"HV Startup Voltage Exceeded","")</f>
        <v/>
      </c>
      <c r="G36" s="29"/>
      <c r="H36" s="29"/>
      <c r="I36" s="28"/>
      <c r="J36" s="28"/>
      <c r="K36" s="29"/>
      <c r="L36" s="29"/>
      <c r="M36" s="29"/>
      <c r="P36" s="11" t="s">
        <v>118</v>
      </c>
      <c r="Q36" s="42">
        <f>D33</f>
        <v>199.59971471202081</v>
      </c>
    </row>
    <row r="37" spans="2:36" ht="36" customHeight="1" x14ac:dyDescent="0.25">
      <c r="B37" s="29"/>
      <c r="C37" s="329" t="s">
        <v>130</v>
      </c>
      <c r="D37" s="329"/>
      <c r="E37" s="329"/>
      <c r="F37" s="329"/>
      <c r="G37" s="329"/>
      <c r="H37" s="329"/>
      <c r="I37" s="329"/>
      <c r="J37" s="329"/>
      <c r="K37" s="329"/>
      <c r="L37" s="329"/>
      <c r="M37" s="29"/>
      <c r="Q37" s="42"/>
    </row>
    <row r="38" spans="2:36" ht="84" x14ac:dyDescent="0.25">
      <c r="B38" s="29"/>
      <c r="C38" s="213" t="s">
        <v>131</v>
      </c>
      <c r="D38" s="213" t="s">
        <v>132</v>
      </c>
      <c r="E38" s="213" t="s">
        <v>133</v>
      </c>
      <c r="F38" s="43" t="s">
        <v>259</v>
      </c>
      <c r="G38" s="213" t="s">
        <v>260</v>
      </c>
      <c r="H38" s="213" t="s">
        <v>261</v>
      </c>
      <c r="I38" s="213" t="s">
        <v>258</v>
      </c>
      <c r="J38" s="213" t="s">
        <v>137</v>
      </c>
      <c r="K38" s="213" t="s">
        <v>293</v>
      </c>
      <c r="L38" s="213" t="s">
        <v>294</v>
      </c>
      <c r="M38" s="29"/>
      <c r="Q38" s="42"/>
    </row>
    <row r="39" spans="2:36" ht="24.95" customHeight="1" x14ac:dyDescent="0.25">
      <c r="B39" s="29"/>
      <c r="C39" s="86">
        <v>0.38500000000000001</v>
      </c>
      <c r="D39" s="222">
        <f>I27^2*C39</f>
        <v>0.94434307991171973</v>
      </c>
      <c r="E39" s="222">
        <f>I33^2*C39</f>
        <v>0.20189898746367715</v>
      </c>
      <c r="F39" s="271">
        <v>15</v>
      </c>
      <c r="G39" s="106">
        <v>0.9</v>
      </c>
      <c r="H39" s="26">
        <f>K33/G39</f>
        <v>779.42886553798303</v>
      </c>
      <c r="I39" s="193">
        <v>47</v>
      </c>
      <c r="J39" s="193">
        <v>50</v>
      </c>
      <c r="K39" s="26">
        <f>D27*F39</f>
        <v>1582.7764377483895</v>
      </c>
      <c r="L39" s="91">
        <f>D33*F39</f>
        <v>2993.9957206803124</v>
      </c>
      <c r="M39" s="29"/>
      <c r="Q39" s="42"/>
    </row>
    <row r="40" spans="2:36" ht="24.95" customHeight="1" x14ac:dyDescent="0.25">
      <c r="B40" s="29"/>
      <c r="C40" s="29"/>
      <c r="D40" s="29"/>
      <c r="E40" s="28"/>
      <c r="F40" s="40"/>
      <c r="G40" s="29"/>
      <c r="H40" s="29"/>
      <c r="I40" s="28"/>
      <c r="J40" s="28"/>
      <c r="K40" s="29"/>
      <c r="L40" s="29"/>
      <c r="M40" s="29"/>
      <c r="Q40" s="42"/>
    </row>
    <row r="41" spans="2:36" x14ac:dyDescent="0.25">
      <c r="B41" s="29"/>
      <c r="C41" s="29"/>
      <c r="D41" s="29"/>
      <c r="E41" s="28"/>
      <c r="F41" s="28"/>
      <c r="G41" s="29"/>
      <c r="H41" s="29"/>
      <c r="I41" s="28"/>
      <c r="J41" s="28"/>
      <c r="K41" s="29"/>
      <c r="L41" s="29"/>
      <c r="M41" s="29"/>
      <c r="P41" s="11" t="s">
        <v>119</v>
      </c>
      <c r="Q41" s="11">
        <f>J20*Q33^2*0.5*Q36*Q32</f>
        <v>37950.000000000015</v>
      </c>
    </row>
    <row r="42" spans="2:36" ht="36" customHeight="1" x14ac:dyDescent="0.25">
      <c r="B42" s="29"/>
      <c r="C42" s="329" t="s">
        <v>60</v>
      </c>
      <c r="D42" s="329"/>
      <c r="E42" s="329"/>
      <c r="F42" s="329"/>
      <c r="G42" s="329"/>
      <c r="H42" s="329"/>
      <c r="I42" s="329"/>
      <c r="J42" s="329"/>
      <c r="K42" s="329"/>
      <c r="L42" s="31"/>
      <c r="M42" s="29"/>
      <c r="P42" s="12" t="s">
        <v>121</v>
      </c>
      <c r="Q42" s="11">
        <f>Q26</f>
        <v>96.600000000000009</v>
      </c>
    </row>
    <row r="43" spans="2:36" ht="66.75" customHeight="1" x14ac:dyDescent="0.25">
      <c r="B43" s="29"/>
      <c r="C43" s="25" t="s">
        <v>64</v>
      </c>
      <c r="D43" s="213" t="s">
        <v>256</v>
      </c>
      <c r="E43" s="213" t="s">
        <v>81</v>
      </c>
      <c r="F43" s="213" t="s">
        <v>80</v>
      </c>
      <c r="G43" s="213" t="s">
        <v>62</v>
      </c>
      <c r="H43" s="334" t="s">
        <v>63</v>
      </c>
      <c r="I43" s="334"/>
      <c r="J43" s="213" t="s">
        <v>257</v>
      </c>
      <c r="K43" s="240" t="s">
        <v>289</v>
      </c>
      <c r="L43" s="29"/>
      <c r="M43" s="29"/>
      <c r="P43" s="211" t="s">
        <v>120</v>
      </c>
      <c r="Q43" s="211">
        <f>(Q42/2)+SQRT(Q41+(Q42^2*0.25))</f>
        <v>249.00597898418476</v>
      </c>
    </row>
    <row r="44" spans="2:36" x14ac:dyDescent="0.25">
      <c r="B44" s="29"/>
      <c r="C44" s="326">
        <v>120</v>
      </c>
      <c r="D44" s="333">
        <f>AJ18</f>
        <v>4.6733994188027896</v>
      </c>
      <c r="E44" s="333">
        <f>I27</f>
        <v>1.566154260793575</v>
      </c>
      <c r="F44" s="333">
        <f>J27*G44*0.577*SQRT(1-C27)</f>
        <v>13.271559884303183</v>
      </c>
      <c r="G44" s="351">
        <f>J16</f>
        <v>7</v>
      </c>
      <c r="H44" s="250" t="s">
        <v>66</v>
      </c>
      <c r="I44" s="250" t="s">
        <v>67</v>
      </c>
      <c r="J44" s="335">
        <f>500*C39</f>
        <v>192.5</v>
      </c>
      <c r="K44" s="341">
        <f>C44*D27/E17</f>
        <v>101.29769201589693</v>
      </c>
      <c r="L44" s="29"/>
      <c r="M44" s="29"/>
    </row>
    <row r="45" spans="2:36" x14ac:dyDescent="0.25">
      <c r="B45" s="29"/>
      <c r="C45" s="326"/>
      <c r="D45" s="333"/>
      <c r="E45" s="333"/>
      <c r="F45" s="333"/>
      <c r="G45" s="351"/>
      <c r="H45" s="220">
        <f>G44*J8/28</f>
        <v>3.45</v>
      </c>
      <c r="I45" s="220">
        <f>G44*J8/10.2</f>
        <v>9.4705882352941195</v>
      </c>
      <c r="J45" s="336"/>
      <c r="K45" s="342"/>
      <c r="L45" s="29"/>
      <c r="M45" s="29"/>
    </row>
    <row r="46" spans="2:36" ht="66" customHeight="1" x14ac:dyDescent="0.25">
      <c r="B46" s="29"/>
      <c r="C46" s="194" t="s">
        <v>289</v>
      </c>
      <c r="D46" s="200"/>
      <c r="E46" s="200"/>
      <c r="F46" s="200"/>
      <c r="G46" s="201"/>
      <c r="H46" s="202"/>
      <c r="I46" s="202"/>
      <c r="J46" s="201"/>
      <c r="K46" s="203"/>
      <c r="L46" s="29"/>
      <c r="M46" s="29"/>
    </row>
    <row r="47" spans="2:36" ht="35.25" customHeight="1" x14ac:dyDescent="0.25">
      <c r="B47" s="29"/>
      <c r="C47" s="199">
        <f>C44*D27/E17</f>
        <v>101.29769201589693</v>
      </c>
      <c r="D47" s="200"/>
      <c r="E47" s="200"/>
      <c r="F47" s="200"/>
      <c r="G47" s="201"/>
      <c r="H47" s="202"/>
      <c r="I47" s="202"/>
      <c r="J47" s="201"/>
      <c r="K47" s="203"/>
      <c r="L47" s="29"/>
      <c r="M47" s="29"/>
    </row>
    <row r="48" spans="2:36" ht="36" customHeight="1" x14ac:dyDescent="0.25">
      <c r="B48" s="29"/>
      <c r="C48" s="350" t="s">
        <v>65</v>
      </c>
      <c r="D48" s="350"/>
      <c r="E48" s="350"/>
      <c r="F48" s="350"/>
      <c r="G48" s="350"/>
      <c r="H48" s="350"/>
      <c r="I48" s="350"/>
      <c r="J48" s="350"/>
      <c r="K48" s="350"/>
      <c r="L48" s="31"/>
      <c r="M48" s="29"/>
    </row>
    <row r="49" spans="2:13" ht="63" x14ac:dyDescent="0.25">
      <c r="B49" s="29"/>
      <c r="C49" s="25" t="s">
        <v>64</v>
      </c>
      <c r="D49" s="213" t="s">
        <v>61</v>
      </c>
      <c r="E49" s="213" t="s">
        <v>75</v>
      </c>
      <c r="F49" s="213" t="s">
        <v>76</v>
      </c>
      <c r="G49" s="213" t="s">
        <v>62</v>
      </c>
      <c r="H49" s="334" t="s">
        <v>63</v>
      </c>
      <c r="I49" s="334"/>
      <c r="J49" s="221" t="s">
        <v>83</v>
      </c>
      <c r="K49" s="221" t="s">
        <v>82</v>
      </c>
      <c r="L49" s="29"/>
      <c r="M49" s="29"/>
    </row>
    <row r="50" spans="2:13" x14ac:dyDescent="0.25">
      <c r="B50" s="29"/>
      <c r="C50" s="363">
        <f>C44</f>
        <v>120</v>
      </c>
      <c r="D50" s="365">
        <v>4.75</v>
      </c>
      <c r="E50" s="346">
        <v>200</v>
      </c>
      <c r="F50" s="346">
        <v>5.2369851199999999</v>
      </c>
      <c r="G50" s="346">
        <v>7</v>
      </c>
      <c r="H50" s="250" t="s">
        <v>66</v>
      </c>
      <c r="I50" s="250" t="s">
        <v>67</v>
      </c>
      <c r="J50" s="356">
        <f>J8*G50/H52</f>
        <v>13.8</v>
      </c>
      <c r="K50" s="354">
        <f>28*H52/G50</f>
        <v>28</v>
      </c>
      <c r="L50" s="29"/>
      <c r="M50" s="29"/>
    </row>
    <row r="51" spans="2:13" x14ac:dyDescent="0.25">
      <c r="B51" s="29"/>
      <c r="C51" s="364"/>
      <c r="D51" s="366"/>
      <c r="E51" s="347"/>
      <c r="F51" s="347"/>
      <c r="G51" s="347"/>
      <c r="H51" s="220">
        <f>G50*H45/G44</f>
        <v>3.45</v>
      </c>
      <c r="I51" s="220">
        <f>I45*G50/G44</f>
        <v>9.4705882352941195</v>
      </c>
      <c r="J51" s="356"/>
      <c r="K51" s="355"/>
      <c r="L51" s="29"/>
      <c r="M51" s="29"/>
    </row>
    <row r="52" spans="2:13" ht="21" customHeight="1" x14ac:dyDescent="0.25">
      <c r="B52" s="29"/>
      <c r="C52" s="258"/>
      <c r="D52" s="258"/>
      <c r="E52" s="367" t="s">
        <v>73</v>
      </c>
      <c r="F52" s="367" t="s">
        <v>74</v>
      </c>
      <c r="G52" s="343" t="str">
        <f>IF(G44&lt;&gt;G50,"Updated Target Turns Ratio to see actual operating conditions","")</f>
        <v/>
      </c>
      <c r="H52" s="352">
        <v>7</v>
      </c>
      <c r="I52" s="353"/>
      <c r="J52" s="258"/>
      <c r="K52" s="258"/>
      <c r="L52" s="29"/>
      <c r="M52" s="29"/>
    </row>
    <row r="53" spans="2:13" ht="42" customHeight="1" x14ac:dyDescent="0.25">
      <c r="B53" s="29"/>
      <c r="C53" s="258"/>
      <c r="D53" s="258"/>
      <c r="E53" s="368"/>
      <c r="F53" s="368"/>
      <c r="G53" s="344"/>
      <c r="H53" s="359" t="str">
        <f>IF(H52&lt;H51,"Vcc too High","")</f>
        <v/>
      </c>
      <c r="I53" s="359" t="str">
        <f>IF(H52&gt;I51,"Vcc too Low","")</f>
        <v/>
      </c>
      <c r="J53" s="361"/>
      <c r="K53" s="343" t="str">
        <f>IF(H52&lt;H51,"Warning: Vout_OVP less than Vout","")</f>
        <v/>
      </c>
      <c r="L53" s="29"/>
      <c r="M53" s="29"/>
    </row>
    <row r="54" spans="2:13" x14ac:dyDescent="0.25">
      <c r="B54" s="29"/>
      <c r="C54" s="258"/>
      <c r="D54" s="258"/>
      <c r="E54" s="222">
        <f>E44^2*E50*0.001</f>
        <v>0.49056783372037388</v>
      </c>
      <c r="F54" s="222">
        <f>F44^2*F50*0.001</f>
        <v>0.92241271745256437</v>
      </c>
      <c r="G54" s="345"/>
      <c r="H54" s="360"/>
      <c r="I54" s="360"/>
      <c r="J54" s="362"/>
      <c r="K54" s="345"/>
      <c r="L54" s="29"/>
      <c r="M54" s="29"/>
    </row>
    <row r="55" spans="2:13" x14ac:dyDescent="0.25">
      <c r="B55" s="29"/>
      <c r="C55" s="29"/>
      <c r="D55" s="29"/>
      <c r="E55" s="28"/>
      <c r="F55" s="28"/>
      <c r="G55" s="29"/>
      <c r="H55" s="29"/>
      <c r="I55" s="29"/>
      <c r="J55" s="29"/>
      <c r="K55" s="29"/>
      <c r="L55" s="29"/>
      <c r="M55" s="29"/>
    </row>
    <row r="56" spans="2:13" ht="23.25" x14ac:dyDescent="0.25">
      <c r="B56" s="29"/>
      <c r="C56" s="29"/>
      <c r="D56" s="29"/>
      <c r="E56" s="24" t="s">
        <v>336</v>
      </c>
      <c r="F56" s="86">
        <v>0.69</v>
      </c>
      <c r="G56" s="24" t="s">
        <v>307</v>
      </c>
      <c r="H56" s="86">
        <v>30</v>
      </c>
      <c r="I56" s="24" t="s">
        <v>308</v>
      </c>
      <c r="J56" s="54">
        <f>0.01*C44*D44/(F56*H56)</f>
        <v>0.27092170543784289</v>
      </c>
      <c r="K56" s="29"/>
      <c r="L56" s="29"/>
      <c r="M56" s="29"/>
    </row>
    <row r="57" spans="2:13" x14ac:dyDescent="0.25">
      <c r="B57" s="29"/>
      <c r="C57" s="29"/>
      <c r="D57" s="29"/>
      <c r="E57" s="28"/>
      <c r="F57" s="28"/>
      <c r="G57" s="29"/>
      <c r="H57" s="29"/>
      <c r="I57" s="29"/>
      <c r="J57" s="29"/>
      <c r="K57" s="29"/>
      <c r="L57" s="29"/>
      <c r="M57" s="29"/>
    </row>
    <row r="58" spans="2:13" x14ac:dyDescent="0.25">
      <c r="B58" s="29"/>
      <c r="C58" s="29"/>
      <c r="D58" s="29"/>
      <c r="E58" s="28"/>
      <c r="F58" s="28"/>
      <c r="G58" s="29"/>
      <c r="H58" s="29"/>
      <c r="I58" s="28"/>
      <c r="J58" s="28"/>
      <c r="K58" s="29"/>
      <c r="L58" s="29"/>
      <c r="M58" s="29"/>
    </row>
  </sheetData>
  <mergeCells count="63">
    <mergeCell ref="C23:D23"/>
    <mergeCell ref="H20:I20"/>
    <mergeCell ref="H53:H54"/>
    <mergeCell ref="I53:I54"/>
    <mergeCell ref="J53:J54"/>
    <mergeCell ref="C50:C51"/>
    <mergeCell ref="D50:D51"/>
    <mergeCell ref="E50:E51"/>
    <mergeCell ref="F50:F51"/>
    <mergeCell ref="E52:E53"/>
    <mergeCell ref="F52:F53"/>
    <mergeCell ref="K18:K19"/>
    <mergeCell ref="H23:I23"/>
    <mergeCell ref="K22:K23"/>
    <mergeCell ref="H18:I18"/>
    <mergeCell ref="H22:I22"/>
    <mergeCell ref="K44:K45"/>
    <mergeCell ref="G52:G54"/>
    <mergeCell ref="G50:G51"/>
    <mergeCell ref="K13:K14"/>
    <mergeCell ref="H14:I14"/>
    <mergeCell ref="H16:I16"/>
    <mergeCell ref="H49:I49"/>
    <mergeCell ref="C48:K48"/>
    <mergeCell ref="E44:E45"/>
    <mergeCell ref="F44:F45"/>
    <mergeCell ref="G44:G45"/>
    <mergeCell ref="H52:I52"/>
    <mergeCell ref="K50:K51"/>
    <mergeCell ref="J50:J51"/>
    <mergeCell ref="K53:K54"/>
    <mergeCell ref="C21:D21"/>
    <mergeCell ref="J13:J14"/>
    <mergeCell ref="C44:C45"/>
    <mergeCell ref="T30:U30"/>
    <mergeCell ref="T31:U31"/>
    <mergeCell ref="H21:I21"/>
    <mergeCell ref="C19:D19"/>
    <mergeCell ref="C25:L25"/>
    <mergeCell ref="H19:I19"/>
    <mergeCell ref="J18:J19"/>
    <mergeCell ref="D44:D45"/>
    <mergeCell ref="C31:L31"/>
    <mergeCell ref="C42:K42"/>
    <mergeCell ref="C37:L37"/>
    <mergeCell ref="H43:I43"/>
    <mergeCell ref="J44:J45"/>
    <mergeCell ref="I34:L35"/>
    <mergeCell ref="AA2:AB2"/>
    <mergeCell ref="AE2:AF2"/>
    <mergeCell ref="C5:K5"/>
    <mergeCell ref="C2:K2"/>
    <mergeCell ref="C7:D7"/>
    <mergeCell ref="C9:D9"/>
    <mergeCell ref="C17:D17"/>
    <mergeCell ref="H7:I7"/>
    <mergeCell ref="H9:I9"/>
    <mergeCell ref="H11:I11"/>
    <mergeCell ref="H13:I13"/>
    <mergeCell ref="C11:D11"/>
    <mergeCell ref="C13:D13"/>
    <mergeCell ref="H8:I8"/>
    <mergeCell ref="C15:D15"/>
  </mergeCells>
  <dataValidations xWindow="1200" yWindow="465" count="20">
    <dataValidation type="decimal" errorStyle="warning" operator="greaterThan" allowBlank="1" showInputMessage="1" showErrorMessage="1" errorTitle="Input" error="Input Voltage below Brown-out threshold" promptTitle="Minimum AC Input" prompt="Minimum AC Input" sqref="E7">
      <formula1>66</formula1>
    </dataValidation>
    <dataValidation type="decimal" errorStyle="warning" allowBlank="1" showInputMessage="1" showErrorMessage="1" errorTitle="Max Input" error="Max Input Voltage out of normal range" promptTitle="Maximum AC Input" prompt="Maximum AC Input" sqref="E9">
      <formula1>80</formula1>
      <formula2>350</formula2>
    </dataValidation>
    <dataValidation type="decimal" operator="greaterThan" allowBlank="1" showInputMessage="1" showErrorMessage="1" promptTitle="Output Power" prompt="Output Power" sqref="E13">
      <formula1>0</formula1>
    </dataValidation>
    <dataValidation type="decimal" errorStyle="warning" allowBlank="1" showInputMessage="1" showErrorMessage="1" errorTitle="Efficiency" error="Efficiency out of range" promptTitle="Estimate Efficiency" prompt="Estimate Efficiency" sqref="E15">
      <formula1>0</formula1>
      <formula2>1</formula2>
    </dataValidation>
    <dataValidation type="decimal" errorStyle="warning" allowBlank="1" showInputMessage="1" showErrorMessage="1" error="Minimum Fsw below Minimum Fsw clamp" promptTitle="Min Fsw" prompt="Min Fsw" sqref="E17">
      <formula1>25</formula1>
      <formula2>360</formula2>
    </dataValidation>
    <dataValidation type="decimal" errorStyle="warning" allowBlank="1" showInputMessage="1" showErrorMessage="1" errorTitle="OIP" error="Overcurrent out of normal range" promptTitle="Overcurrent Percentage" prompt="Overcurrent Percentage Greater than 100%" sqref="J11">
      <formula1>1</formula1>
      <formula2>10</formula2>
    </dataValidation>
    <dataValidation type="decimal" operator="greaterThan" allowBlank="1" showInputMessage="1" showErrorMessage="1" promptTitle="Output Voltage" prompt="Output Voltage " sqref="J8">
      <formula1>0</formula1>
    </dataValidation>
    <dataValidation type="decimal" operator="greaterThan" allowBlank="1" showInputMessage="1" showErrorMessage="1" promptTitle="Maximum Current" prompt="Maximum Current" sqref="J9">
      <formula1>0</formula1>
    </dataValidation>
    <dataValidation type="list" allowBlank="1" showInputMessage="1" showErrorMessage="1" promptTitle="Line Frequency" prompt="Line Frequency" sqref="E11">
      <formula1>$W$7:$W$11</formula1>
    </dataValidation>
    <dataValidation type="decimal" operator="greaterThan" allowBlank="1" showInputMessage="1" showErrorMessage="1" promptTitle="Bulk Ripple Voltage" prompt="HVDC Ripple Voltage" sqref="J13">
      <formula1>0</formula1>
    </dataValidation>
    <dataValidation type="decimal" errorStyle="warning" allowBlank="1" showInputMessage="1" showErrorMessage="1" errorTitle="DCR too High" error="DCR too High" promptTitle="Pri_DCR" prompt="Pri_DCR in mOhms" sqref="E50:E51">
      <formula1>0</formula1>
      <formula2>10000</formula2>
    </dataValidation>
    <dataValidation type="decimal" errorStyle="warning" allowBlank="1" showInputMessage="1" showErrorMessage="1" errorTitle="DCR too High" error="DCR too High" promptTitle="Sec_DCR" prompt="Sec_DCR in mOhms" sqref="F50:F51">
      <formula1>0</formula1>
      <formula2>1000</formula2>
    </dataValidation>
    <dataValidation type="decimal" errorStyle="warning" allowBlank="1" showInputMessage="1" showErrorMessage="1" errorTitle="Pri-Sec Turns Ratio" error="Out of Range" promptTitle="Pri-Sec Turns Ratio" prompt="Pri-Sec Turns Ratio" sqref="G50:G51">
      <formula1>0</formula1>
      <formula2>1000</formula2>
    </dataValidation>
    <dataValidation type="decimal" errorStyle="warning" allowBlank="1" showInputMessage="1" showErrorMessage="1" errorTitle="Pri-Aux Turns Ratio" error="Turns out of range" promptTitle="Pri-Aux Turns Ratio" prompt="Pri-Aux Turns Ratio" sqref="H52:I52">
      <formula1>0</formula1>
      <formula2>1000</formula2>
    </dataValidation>
    <dataValidation type="decimal" errorStyle="warning" operator="greaterThan" allowBlank="1" showInputMessage="1" showErrorMessage="1" errorTitle="Pri-Sec Target Turns Ratio" error="Pri-Sec Target Turns Ratio" promptTitle="Pri-Sec Target Turns Ratio" prompt="Pri-Sec Target Turns Ratio" sqref="J16">
      <formula1>0</formula1>
    </dataValidation>
    <dataValidation type="decimal" errorStyle="warning" operator="greaterThan" allowBlank="1" showInputMessage="1" showErrorMessage="1" errorTitle="Percent Leakage Inductance" error="Out of Range" promptTitle="Percent Leakage Inductance" prompt="Percent Leakage Inductance typical 1%-5%" sqref="J18:J19">
      <formula1>0</formula1>
    </dataValidation>
    <dataValidation type="decimal" errorStyle="warning" operator="greaterThan" allowBlank="1" showInputMessage="1" showErrorMessage="1" error="Out of Range" promptTitle="Snubber Resistor Value" prompt="Snubber Resistor Value in kOhms" sqref="J20">
      <formula1>0</formula1>
    </dataValidation>
    <dataValidation type="decimal" errorStyle="warning" operator="greaterThan" allowBlank="1" showInputMessage="1" showErrorMessage="1" errorTitle="Snubber Capacitor in nF" error="Out of Range" promptTitle="Snubber Capacitor in nF" prompt="Snubber Capacitor in nF" sqref="J21">
      <formula1>0</formula1>
    </dataValidation>
    <dataValidation type="decimal" errorStyle="warning" allowBlank="1" showInputMessage="1" showErrorMessage="1" promptTitle="MOSFET Derating" sqref="G39">
      <formula1>0</formula1>
      <formula2>1</formula2>
    </dataValidation>
    <dataValidation type="decimal" errorStyle="information" operator="greaterThanOrEqual" allowBlank="1" showInputMessage="1" showErrorMessage="1" promptTitle="Output Rectifier Vf" prompt="Output Rectifier Vf will be close to 0 in case of using a SR" sqref="E23">
      <formula1>0</formula1>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D4:N185"/>
  <sheetViews>
    <sheetView workbookViewId="0">
      <selection sqref="A1:XFD1048576"/>
    </sheetView>
  </sheetViews>
  <sheetFormatPr defaultRowHeight="15" x14ac:dyDescent="0.25"/>
  <cols>
    <col min="5" max="5" width="12" bestFit="1" customWidth="1"/>
    <col min="8" max="8" width="11.7109375" customWidth="1"/>
    <col min="13" max="13" width="12" bestFit="1" customWidth="1"/>
  </cols>
  <sheetData>
    <row r="4" spans="4:14" x14ac:dyDescent="0.25">
      <c r="H4" t="s">
        <v>296</v>
      </c>
      <c r="I4" t="s">
        <v>297</v>
      </c>
      <c r="K4" t="s">
        <v>298</v>
      </c>
      <c r="L4" t="s">
        <v>300</v>
      </c>
      <c r="M4" t="s">
        <v>301</v>
      </c>
      <c r="N4" t="s">
        <v>302</v>
      </c>
    </row>
    <row r="5" spans="4:14" x14ac:dyDescent="0.25">
      <c r="D5" t="s">
        <v>295</v>
      </c>
      <c r="E5" s="36">
        <f>'Step 2 - Operating Conditions'!F27</f>
        <v>141.4</v>
      </c>
      <c r="H5">
        <v>0</v>
      </c>
      <c r="I5">
        <f>ABS($E$5*COS(RADIANS(H5)))</f>
        <v>141.4</v>
      </c>
      <c r="K5">
        <f>$E$7/L5</f>
        <v>0.73196605374823198</v>
      </c>
      <c r="L5">
        <f>I5</f>
        <v>141.4</v>
      </c>
      <c r="M5">
        <f>K5*$E$9</f>
        <v>5.0830975954738331E-6</v>
      </c>
      <c r="N5" s="44">
        <f>M5/E$11</f>
        <v>5.0830975954738337E-2</v>
      </c>
    </row>
    <row r="6" spans="4:14" x14ac:dyDescent="0.25">
      <c r="D6" t="s">
        <v>152</v>
      </c>
      <c r="E6">
        <f>'Step 2 - Operating Conditions'!E11</f>
        <v>400</v>
      </c>
      <c r="H6">
        <f>H5+1</f>
        <v>1</v>
      </c>
      <c r="I6">
        <f t="shared" ref="I6:I69" si="0">ABS($E$5*COS(RADIANS(H6)))</f>
        <v>141.37846409511374</v>
      </c>
      <c r="K6">
        <f t="shared" ref="K6:K69" si="1">$E$7/L6</f>
        <v>0.73207755270540609</v>
      </c>
      <c r="L6">
        <f>MAX(I6,L5-N5)</f>
        <v>141.37846409511374</v>
      </c>
      <c r="M6">
        <f>K6*$E$9</f>
        <v>5.0838718937875426E-6</v>
      </c>
      <c r="N6" s="44">
        <f t="shared" ref="N6:N69" si="2">M6/E$11</f>
        <v>5.0838718937875428E-2</v>
      </c>
    </row>
    <row r="7" spans="4:14" x14ac:dyDescent="0.25">
      <c r="D7" t="s">
        <v>153</v>
      </c>
      <c r="E7">
        <f>'Step 2 - Operating Conditions'!E13</f>
        <v>103.5</v>
      </c>
      <c r="H7">
        <f t="shared" ref="H7:H70" si="3">H6+1</f>
        <v>2</v>
      </c>
      <c r="I7">
        <f t="shared" si="0"/>
        <v>141.31386294050014</v>
      </c>
      <c r="K7">
        <f t="shared" si="1"/>
        <v>0.73234089743255104</v>
      </c>
      <c r="L7">
        <f t="shared" ref="L7:L28" si="4">MAX(I7,L6-N6)</f>
        <v>141.32762537617586</v>
      </c>
      <c r="M7">
        <f t="shared" ref="M7:M28" si="5">K7*$E$9</f>
        <v>5.0857006766149381E-6</v>
      </c>
      <c r="N7" s="44">
        <f t="shared" si="2"/>
        <v>5.0857006766149383E-2</v>
      </c>
    </row>
    <row r="8" spans="4:14" x14ac:dyDescent="0.25">
      <c r="H8">
        <f t="shared" si="3"/>
        <v>3</v>
      </c>
      <c r="I8">
        <f t="shared" si="0"/>
        <v>141.20621621429675</v>
      </c>
      <c r="K8">
        <f t="shared" si="1"/>
        <v>0.73260452652320562</v>
      </c>
      <c r="L8">
        <f t="shared" si="4"/>
        <v>141.27676836940972</v>
      </c>
      <c r="M8">
        <f t="shared" si="5"/>
        <v>5.0875314341889285E-6</v>
      </c>
      <c r="N8" s="44">
        <f t="shared" si="2"/>
        <v>5.0875314341889293E-2</v>
      </c>
    </row>
    <row r="9" spans="4:14" x14ac:dyDescent="0.25">
      <c r="D9" t="s">
        <v>299</v>
      </c>
      <c r="E9">
        <f>1/(E6*360)</f>
        <v>6.9444444444444448E-6</v>
      </c>
      <c r="H9">
        <f t="shared" si="3"/>
        <v>4</v>
      </c>
      <c r="I9">
        <f t="shared" si="0"/>
        <v>141.05555670673914</v>
      </c>
      <c r="K9">
        <f t="shared" si="1"/>
        <v>0.73286844048946831</v>
      </c>
      <c r="L9">
        <f t="shared" si="4"/>
        <v>141.22589305506784</v>
      </c>
      <c r="M9">
        <f t="shared" si="5"/>
        <v>5.0893641700657528E-6</v>
      </c>
      <c r="N9" s="44">
        <f t="shared" si="2"/>
        <v>5.0893641700657535E-2</v>
      </c>
    </row>
    <row r="10" spans="4:14" x14ac:dyDescent="0.25">
      <c r="H10">
        <f t="shared" si="3"/>
        <v>5</v>
      </c>
      <c r="I10">
        <f t="shared" si="0"/>
        <v>140.86193031017282</v>
      </c>
      <c r="K10">
        <f t="shared" si="1"/>
        <v>0.73313263984472943</v>
      </c>
      <c r="L10">
        <f t="shared" si="4"/>
        <v>141.17499941336717</v>
      </c>
      <c r="M10">
        <f t="shared" si="5"/>
        <v>5.0911988878106211E-6</v>
      </c>
      <c r="N10" s="44">
        <f t="shared" si="2"/>
        <v>5.0911988878106218E-2</v>
      </c>
    </row>
    <row r="11" spans="4:14" x14ac:dyDescent="0.25">
      <c r="D11" t="s">
        <v>179</v>
      </c>
      <c r="E11" s="44">
        <f>'Step 2 - Operating Conditions'!H29*0.000001</f>
        <v>9.9999999999999991E-5</v>
      </c>
      <c r="H11">
        <f t="shared" si="3"/>
        <v>6</v>
      </c>
      <c r="I11">
        <f t="shared" si="0"/>
        <v>140.62539600507384</v>
      </c>
      <c r="K11">
        <f t="shared" si="1"/>
        <v>0.73339712510367516</v>
      </c>
      <c r="L11">
        <f t="shared" si="4"/>
        <v>141.12408742448906</v>
      </c>
      <c r="M11">
        <f t="shared" si="5"/>
        <v>5.0930355909977446E-6</v>
      </c>
      <c r="N11" s="44">
        <f t="shared" si="2"/>
        <v>5.0930355909977451E-2</v>
      </c>
    </row>
    <row r="12" spans="4:14" x14ac:dyDescent="0.25">
      <c r="H12">
        <f t="shared" si="3"/>
        <v>7</v>
      </c>
      <c r="I12">
        <f t="shared" si="0"/>
        <v>140.34602584208292</v>
      </c>
      <c r="K12">
        <f t="shared" si="1"/>
        <v>0.73366189678229243</v>
      </c>
      <c r="L12">
        <f t="shared" si="4"/>
        <v>141.07315706857909</v>
      </c>
      <c r="M12">
        <f t="shared" si="5"/>
        <v>5.0948742832103641E-6</v>
      </c>
      <c r="N12" s="44">
        <f t="shared" si="2"/>
        <v>5.0948742832103648E-2</v>
      </c>
    </row>
    <row r="13" spans="4:14" x14ac:dyDescent="0.25">
      <c r="D13" t="s">
        <v>303</v>
      </c>
      <c r="E13">
        <f>MIN(L5:L185)</f>
        <v>133.05142367455224</v>
      </c>
      <c r="H13">
        <f t="shared" si="3"/>
        <v>8</v>
      </c>
      <c r="I13">
        <f t="shared" si="0"/>
        <v>140.02390492005804</v>
      </c>
      <c r="K13">
        <f t="shared" si="1"/>
        <v>0.73392695539787256</v>
      </c>
      <c r="L13">
        <f t="shared" si="4"/>
        <v>141.02220832574699</v>
      </c>
      <c r="M13">
        <f t="shared" si="5"/>
        <v>5.096714968040782E-6</v>
      </c>
      <c r="N13" s="44">
        <f t="shared" si="2"/>
        <v>5.0967149680407824E-2</v>
      </c>
    </row>
    <row r="14" spans="4:14" x14ac:dyDescent="0.25">
      <c r="H14">
        <f t="shared" si="3"/>
        <v>9</v>
      </c>
      <c r="I14">
        <f t="shared" si="0"/>
        <v>139.65913136015249</v>
      </c>
      <c r="K14">
        <f t="shared" si="1"/>
        <v>0.73419230146901582</v>
      </c>
      <c r="L14">
        <f t="shared" si="4"/>
        <v>140.97124117606657</v>
      </c>
      <c r="M14">
        <f t="shared" si="5"/>
        <v>5.0985576490903875E-6</v>
      </c>
      <c r="N14" s="44">
        <f t="shared" si="2"/>
        <v>5.0985576490903878E-2</v>
      </c>
    </row>
    <row r="15" spans="4:14" x14ac:dyDescent="0.25">
      <c r="H15">
        <f t="shared" si="3"/>
        <v>10</v>
      </c>
      <c r="I15">
        <f t="shared" si="0"/>
        <v>139.25181627592622</v>
      </c>
      <c r="K15">
        <f t="shared" si="1"/>
        <v>0.73445793551563543</v>
      </c>
      <c r="L15">
        <f t="shared" si="4"/>
        <v>140.92025559957565</v>
      </c>
      <c r="M15">
        <f t="shared" si="5"/>
        <v>5.1004023299696907E-6</v>
      </c>
      <c r="N15" s="44">
        <f t="shared" si="2"/>
        <v>5.1004023299696909E-2</v>
      </c>
    </row>
    <row r="16" spans="4:14" x14ac:dyDescent="0.25">
      <c r="H16">
        <f t="shared" si="3"/>
        <v>11</v>
      </c>
      <c r="I16">
        <f t="shared" si="0"/>
        <v>138.80208373949969</v>
      </c>
      <c r="K16">
        <f t="shared" si="1"/>
        <v>0.73472385805896212</v>
      </c>
      <c r="L16">
        <f t="shared" si="4"/>
        <v>140.86925157627596</v>
      </c>
      <c r="M16">
        <f t="shared" si="5"/>
        <v>5.102249014298348E-6</v>
      </c>
      <c r="N16" s="44">
        <f t="shared" si="2"/>
        <v>5.1022490142983483E-2</v>
      </c>
    </row>
    <row r="17" spans="8:14" x14ac:dyDescent="0.25">
      <c r="H17">
        <f t="shared" si="3"/>
        <v>12</v>
      </c>
      <c r="I17">
        <f t="shared" si="0"/>
        <v>138.31007074376012</v>
      </c>
      <c r="K17">
        <f t="shared" si="1"/>
        <v>0.73499006962154811</v>
      </c>
      <c r="L17">
        <f t="shared" si="4"/>
        <v>140.81822908613299</v>
      </c>
      <c r="M17">
        <f t="shared" si="5"/>
        <v>5.1040977057051952E-6</v>
      </c>
      <c r="N17" s="44">
        <f t="shared" si="2"/>
        <v>5.1040977057051955E-2</v>
      </c>
    </row>
    <row r="18" spans="8:14" x14ac:dyDescent="0.25">
      <c r="H18">
        <f t="shared" si="3"/>
        <v>13</v>
      </c>
      <c r="I18">
        <f t="shared" si="0"/>
        <v>137.77592716063228</v>
      </c>
      <c r="K18">
        <f t="shared" si="1"/>
        <v>0.73525657072727202</v>
      </c>
      <c r="L18">
        <f t="shared" si="4"/>
        <v>140.76718810907593</v>
      </c>
      <c r="M18">
        <f t="shared" si="5"/>
        <v>5.1059484078282784E-6</v>
      </c>
      <c r="N18" s="44">
        <f t="shared" si="2"/>
        <v>5.1059484078282785E-2</v>
      </c>
    </row>
    <row r="19" spans="8:14" x14ac:dyDescent="0.25">
      <c r="H19">
        <f t="shared" si="3"/>
        <v>14</v>
      </c>
      <c r="I19">
        <f t="shared" si="0"/>
        <v>137.19981569542591</v>
      </c>
      <c r="K19">
        <f t="shared" si="1"/>
        <v>0.73552336190134249</v>
      </c>
      <c r="L19">
        <f t="shared" si="4"/>
        <v>140.71612862499765</v>
      </c>
      <c r="M19">
        <f t="shared" si="5"/>
        <v>5.1078011243148784E-6</v>
      </c>
      <c r="N19" s="44">
        <f t="shared" si="2"/>
        <v>5.1078011243148792E-2</v>
      </c>
    </row>
    <row r="20" spans="8:14" x14ac:dyDescent="0.25">
      <c r="H20">
        <f t="shared" si="3"/>
        <v>15</v>
      </c>
      <c r="I20">
        <f t="shared" si="0"/>
        <v>136.58191183727428</v>
      </c>
      <c r="K20">
        <f t="shared" si="1"/>
        <v>0.73579044367030255</v>
      </c>
      <c r="L20">
        <f t="shared" si="4"/>
        <v>140.66505061375452</v>
      </c>
      <c r="M20">
        <f t="shared" si="5"/>
        <v>5.1096558588215459E-6</v>
      </c>
      <c r="N20" s="44">
        <f t="shared" si="2"/>
        <v>5.1096558588215463E-2</v>
      </c>
    </row>
    <row r="21" spans="8:14" x14ac:dyDescent="0.25">
      <c r="H21">
        <f t="shared" si="3"/>
        <v>16</v>
      </c>
      <c r="I21">
        <f t="shared" si="0"/>
        <v>135.9224038056783</v>
      </c>
      <c r="K21">
        <f t="shared" si="1"/>
        <v>0.73605781656203495</v>
      </c>
      <c r="L21">
        <f t="shared" si="4"/>
        <v>140.61395405516629</v>
      </c>
      <c r="M21">
        <f t="shared" si="5"/>
        <v>5.1115126150141317E-6</v>
      </c>
      <c r="N21" s="44">
        <f t="shared" si="2"/>
        <v>5.111512615014132E-2</v>
      </c>
    </row>
    <row r="22" spans="8:14" x14ac:dyDescent="0.25">
      <c r="H22">
        <f t="shared" si="3"/>
        <v>17</v>
      </c>
      <c r="I22">
        <f t="shared" si="0"/>
        <v>135.22149249317323</v>
      </c>
      <c r="K22">
        <f t="shared" si="1"/>
        <v>0.73632548110576523</v>
      </c>
      <c r="L22">
        <f t="shared" si="4"/>
        <v>140.56283892901615</v>
      </c>
      <c r="M22">
        <f t="shared" si="5"/>
        <v>5.1133713965678145E-6</v>
      </c>
      <c r="N22" s="44">
        <f t="shared" si="2"/>
        <v>5.1133713965678153E-2</v>
      </c>
    </row>
    <row r="23" spans="8:14" x14ac:dyDescent="0.25">
      <c r="H23">
        <f t="shared" si="3"/>
        <v>18</v>
      </c>
      <c r="I23">
        <f t="shared" si="0"/>
        <v>134.4793914041347</v>
      </c>
      <c r="K23">
        <f t="shared" si="1"/>
        <v>0.73659343783206688</v>
      </c>
      <c r="L23">
        <f t="shared" si="4"/>
        <v>140.51170521505048</v>
      </c>
      <c r="M23">
        <f t="shared" si="5"/>
        <v>5.1152322071671317E-6</v>
      </c>
      <c r="N23" s="44">
        <f t="shared" si="2"/>
        <v>5.1152322071671322E-2</v>
      </c>
    </row>
    <row r="24" spans="8:14" x14ac:dyDescent="0.25">
      <c r="H24">
        <f t="shared" si="3"/>
        <v>19</v>
      </c>
      <c r="I24">
        <f t="shared" si="0"/>
        <v>133.69632658974342</v>
      </c>
      <c r="K24">
        <f t="shared" si="1"/>
        <v>0.73686168727286583</v>
      </c>
      <c r="L24">
        <f t="shared" si="4"/>
        <v>140.46055289297882</v>
      </c>
      <c r="M24">
        <f t="shared" si="5"/>
        <v>5.1170950505060125E-6</v>
      </c>
      <c r="N24" s="44">
        <f t="shared" si="2"/>
        <v>5.1170950505060132E-2</v>
      </c>
    </row>
    <row r="25" spans="8:14" x14ac:dyDescent="0.25">
      <c r="H25">
        <f t="shared" si="3"/>
        <v>20</v>
      </c>
      <c r="I25">
        <f t="shared" si="0"/>
        <v>132.87253657912746</v>
      </c>
      <c r="K25">
        <f t="shared" si="1"/>
        <v>0.73713022996144462</v>
      </c>
      <c r="L25">
        <f t="shared" si="4"/>
        <v>140.40938194247377</v>
      </c>
      <c r="M25">
        <f t="shared" si="5"/>
        <v>5.1189599302878097E-6</v>
      </c>
      <c r="N25" s="44">
        <f t="shared" si="2"/>
        <v>5.11895993028781E-2</v>
      </c>
    </row>
    <row r="26" spans="8:14" x14ac:dyDescent="0.25">
      <c r="H26">
        <f t="shared" si="3"/>
        <v>21</v>
      </c>
      <c r="I26">
        <f t="shared" si="0"/>
        <v>132.00827230670433</v>
      </c>
      <c r="K26">
        <f t="shared" si="1"/>
        <v>0.73739906643244668</v>
      </c>
      <c r="L26">
        <f t="shared" si="4"/>
        <v>140.35819234317088</v>
      </c>
      <c r="M26">
        <f t="shared" si="5"/>
        <v>5.1208268502253243E-6</v>
      </c>
      <c r="N26" s="44">
        <f t="shared" si="2"/>
        <v>5.1208268502253247E-2</v>
      </c>
    </row>
    <row r="27" spans="8:14" x14ac:dyDescent="0.25">
      <c r="H27">
        <f t="shared" si="3"/>
        <v>22</v>
      </c>
      <c r="I27">
        <f t="shared" si="0"/>
        <v>131.10379703574375</v>
      </c>
      <c r="K27">
        <f t="shared" si="1"/>
        <v>0.73766819722188115</v>
      </c>
      <c r="L27">
        <f t="shared" si="4"/>
        <v>140.30698407466863</v>
      </c>
      <c r="M27">
        <f t="shared" si="5"/>
        <v>5.1226958140408418E-6</v>
      </c>
      <c r="N27" s="44">
        <f t="shared" si="2"/>
        <v>5.1226958140408424E-2</v>
      </c>
    </row>
    <row r="28" spans="8:14" x14ac:dyDescent="0.25">
      <c r="H28">
        <f t="shared" si="3"/>
        <v>23</v>
      </c>
      <c r="I28">
        <f t="shared" si="0"/>
        <v>130.15938627817508</v>
      </c>
      <c r="K28">
        <f t="shared" si="1"/>
        <v>0.73793762286712716</v>
      </c>
      <c r="L28">
        <f t="shared" si="4"/>
        <v>140.25575711652823</v>
      </c>
      <c r="M28">
        <f t="shared" si="5"/>
        <v>5.1245668254661615E-6</v>
      </c>
      <c r="N28" s="44">
        <f t="shared" si="2"/>
        <v>5.1245668254661619E-2</v>
      </c>
    </row>
    <row r="29" spans="8:14" x14ac:dyDescent="0.25">
      <c r="H29">
        <f t="shared" si="3"/>
        <v>24</v>
      </c>
      <c r="I29">
        <f t="shared" si="0"/>
        <v>129.17532771066377</v>
      </c>
      <c r="K29">
        <f t="shared" si="1"/>
        <v>0.73820734390693865</v>
      </c>
      <c r="L29">
        <f>MAX(I29,L28-N28)</f>
        <v>140.20451144827356</v>
      </c>
      <c r="M29">
        <f>K29*$E$9</f>
        <v>5.1264398882426296E-6</v>
      </c>
      <c r="N29" s="44">
        <f t="shared" si="2"/>
        <v>5.1264398882426301E-2</v>
      </c>
    </row>
    <row r="30" spans="8:14" x14ac:dyDescent="0.25">
      <c r="H30">
        <f t="shared" si="3"/>
        <v>25</v>
      </c>
      <c r="I30">
        <f t="shared" si="0"/>
        <v>128.1519210869823</v>
      </c>
      <c r="K30">
        <f t="shared" si="1"/>
        <v>0.73847736088144833</v>
      </c>
      <c r="L30">
        <f t="shared" ref="L30:L48" si="6">MAX(I30,L29-N29)</f>
        <v>140.15324704939113</v>
      </c>
      <c r="M30">
        <f t="shared" ref="M30:M48" si="7">K30*$E$9</f>
        <v>5.128315006121169E-6</v>
      </c>
      <c r="N30" s="44">
        <f t="shared" si="2"/>
        <v>5.1283150061211695E-2</v>
      </c>
    </row>
    <row r="31" spans="8:14" x14ac:dyDescent="0.25">
      <c r="H31">
        <f t="shared" si="3"/>
        <v>26</v>
      </c>
      <c r="I31">
        <f t="shared" si="0"/>
        <v>127.08947814670222</v>
      </c>
      <c r="K31">
        <f t="shared" si="1"/>
        <v>0.7387476743321727</v>
      </c>
      <c r="L31">
        <f t="shared" si="6"/>
        <v>140.10196389932992</v>
      </c>
      <c r="M31">
        <f t="shared" si="7"/>
        <v>5.1301921828623103E-6</v>
      </c>
      <c r="N31" s="44">
        <f t="shared" si="2"/>
        <v>5.1301921828623108E-2</v>
      </c>
    </row>
    <row r="32" spans="8:14" x14ac:dyDescent="0.25">
      <c r="H32">
        <f t="shared" si="3"/>
        <v>27</v>
      </c>
      <c r="I32">
        <f t="shared" si="0"/>
        <v>125.98832252023523</v>
      </c>
      <c r="K32">
        <f t="shared" si="1"/>
        <v>0.73901828480201648</v>
      </c>
      <c r="L32">
        <f t="shared" si="6"/>
        <v>140.05066197750131</v>
      </c>
      <c r="M32">
        <f t="shared" si="7"/>
        <v>5.1320714222362259E-6</v>
      </c>
      <c r="N32" s="44">
        <f t="shared" si="2"/>
        <v>5.1320714222362264E-2</v>
      </c>
    </row>
    <row r="33" spans="8:14" x14ac:dyDescent="0.25">
      <c r="H33">
        <f t="shared" si="3"/>
        <v>28</v>
      </c>
      <c r="I33">
        <f t="shared" si="0"/>
        <v>124.84878963025228</v>
      </c>
      <c r="K33">
        <f t="shared" si="1"/>
        <v>0.73928919283527716</v>
      </c>
      <c r="L33">
        <f t="shared" si="6"/>
        <v>139.99934126327895</v>
      </c>
      <c r="M33">
        <f t="shared" si="7"/>
        <v>5.133952728022758E-6</v>
      </c>
      <c r="N33" s="44">
        <f t="shared" si="2"/>
        <v>5.1339527280227587E-2</v>
      </c>
    </row>
    <row r="34" spans="8:14" x14ac:dyDescent="0.25">
      <c r="H34">
        <f t="shared" si="3"/>
        <v>29</v>
      </c>
      <c r="I34">
        <f t="shared" si="0"/>
        <v>123.67122658951057</v>
      </c>
      <c r="K34">
        <f t="shared" si="1"/>
        <v>0.73956039897764947</v>
      </c>
      <c r="L34">
        <f t="shared" si="6"/>
        <v>139.94800173599873</v>
      </c>
      <c r="M34">
        <f t="shared" si="7"/>
        <v>5.135836104011455E-6</v>
      </c>
      <c r="N34" s="44">
        <f t="shared" si="2"/>
        <v>5.1358361040114556E-2</v>
      </c>
    </row>
    <row r="35" spans="8:14" x14ac:dyDescent="0.25">
      <c r="H35">
        <f t="shared" si="3"/>
        <v>30</v>
      </c>
      <c r="I35">
        <f t="shared" si="0"/>
        <v>122.45599209511964</v>
      </c>
      <c r="K35">
        <f t="shared" si="1"/>
        <v>0.73983190377623043</v>
      </c>
      <c r="L35">
        <f t="shared" si="6"/>
        <v>139.89664337495861</v>
      </c>
      <c r="M35">
        <f t="shared" si="7"/>
        <v>5.1377215540016E-6</v>
      </c>
      <c r="N35" s="44">
        <f t="shared" si="2"/>
        <v>5.1377215540016008E-2</v>
      </c>
    </row>
    <row r="36" spans="8:14" x14ac:dyDescent="0.25">
      <c r="H36">
        <f t="shared" si="3"/>
        <v>31</v>
      </c>
      <c r="I36">
        <f t="shared" si="0"/>
        <v>121.20345631927869</v>
      </c>
      <c r="K36">
        <f t="shared" si="1"/>
        <v>0.74010370777952328</v>
      </c>
      <c r="L36">
        <f t="shared" si="6"/>
        <v>139.8452661594186</v>
      </c>
      <c r="M36">
        <f t="shared" si="7"/>
        <v>5.1396090818022453E-6</v>
      </c>
      <c r="N36" s="44">
        <f t="shared" si="2"/>
        <v>5.1396090818022461E-2</v>
      </c>
    </row>
    <row r="37" spans="8:14" x14ac:dyDescent="0.25">
      <c r="H37">
        <f t="shared" si="3"/>
        <v>32</v>
      </c>
      <c r="I37">
        <f t="shared" si="0"/>
        <v>119.91400079651864</v>
      </c>
      <c r="K37">
        <f t="shared" si="1"/>
        <v>0.74037581153744292</v>
      </c>
      <c r="L37">
        <f t="shared" si="6"/>
        <v>139.79387006860057</v>
      </c>
      <c r="M37">
        <f t="shared" si="7"/>
        <v>5.1414986912322431E-6</v>
      </c>
      <c r="N37" s="44">
        <f t="shared" si="2"/>
        <v>5.1414986912322436E-2</v>
      </c>
    </row>
    <row r="38" spans="8:14" x14ac:dyDescent="0.25">
      <c r="H38">
        <f t="shared" si="3"/>
        <v>33</v>
      </c>
      <c r="I38">
        <f t="shared" si="0"/>
        <v>118.58801830748297</v>
      </c>
      <c r="K38">
        <f t="shared" si="1"/>
        <v>0.74064821560131999</v>
      </c>
      <c r="L38">
        <f t="shared" si="6"/>
        <v>139.74245508168823</v>
      </c>
      <c r="M38">
        <f t="shared" si="7"/>
        <v>5.1433903861202781E-6</v>
      </c>
      <c r="N38" s="44">
        <f t="shared" si="2"/>
        <v>5.1433903861202786E-2</v>
      </c>
    </row>
    <row r="39" spans="8:14" x14ac:dyDescent="0.25">
      <c r="H39">
        <f t="shared" si="3"/>
        <v>34</v>
      </c>
      <c r="I39">
        <f t="shared" si="0"/>
        <v>117.22591275928289</v>
      </c>
      <c r="K39">
        <f>$E$7/L39</f>
        <v>0.74092092052390568</v>
      </c>
      <c r="L39">
        <f t="shared" si="6"/>
        <v>139.69102117782703</v>
      </c>
      <c r="M39">
        <f t="shared" si="7"/>
        <v>5.145284170304901E-6</v>
      </c>
      <c r="N39" s="44">
        <f t="shared" si="2"/>
        <v>5.1452841703049014E-2</v>
      </c>
    </row>
    <row r="40" spans="8:14" x14ac:dyDescent="0.25">
      <c r="H40">
        <f t="shared" si="3"/>
        <v>35</v>
      </c>
      <c r="I40">
        <f t="shared" si="0"/>
        <v>115.82809906246345</v>
      </c>
      <c r="K40">
        <f t="shared" si="1"/>
        <v>0.74119392685937668</v>
      </c>
      <c r="L40">
        <f t="shared" si="6"/>
        <v>139.63956833612397</v>
      </c>
      <c r="M40">
        <f t="shared" si="7"/>
        <v>5.1471800476345604E-6</v>
      </c>
      <c r="N40" s="44">
        <f t="shared" si="2"/>
        <v>5.1471800476345607E-2</v>
      </c>
    </row>
    <row r="41" spans="8:14" x14ac:dyDescent="0.25">
      <c r="H41">
        <f t="shared" si="3"/>
        <v>36</v>
      </c>
      <c r="I41">
        <f t="shared" si="0"/>
        <v>114.39500300461758</v>
      </c>
      <c r="K41">
        <f t="shared" si="1"/>
        <v>0.74146723516333968</v>
      </c>
      <c r="L41">
        <f t="shared" si="6"/>
        <v>139.58809653564762</v>
      </c>
      <c r="M41">
        <f t="shared" si="7"/>
        <v>5.1490780219676371E-6</v>
      </c>
      <c r="N41" s="44">
        <f t="shared" si="2"/>
        <v>5.1490780219676374E-2</v>
      </c>
    </row>
    <row r="42" spans="8:14" x14ac:dyDescent="0.25">
      <c r="H42">
        <f t="shared" si="3"/>
        <v>37</v>
      </c>
      <c r="I42">
        <f t="shared" si="0"/>
        <v>112.92706112068721</v>
      </c>
      <c r="K42">
        <f t="shared" si="1"/>
        <v>0.7417408459928363</v>
      </c>
      <c r="L42">
        <f t="shared" si="6"/>
        <v>139.53660575542796</v>
      </c>
      <c r="M42">
        <f t="shared" si="7"/>
        <v>5.1509780971724745E-6</v>
      </c>
      <c r="N42" s="44">
        <f t="shared" si="2"/>
        <v>5.1509780971724747E-2</v>
      </c>
    </row>
    <row r="43" spans="8:14" x14ac:dyDescent="0.25">
      <c r="H43">
        <f t="shared" si="3"/>
        <v>38</v>
      </c>
      <c r="I43">
        <f t="shared" si="0"/>
        <v>111.42472055999048</v>
      </c>
      <c r="K43">
        <f t="shared" si="1"/>
        <v>0.74201475990634758</v>
      </c>
      <c r="L43">
        <f t="shared" si="6"/>
        <v>139.48509597445624</v>
      </c>
      <c r="M43">
        <f t="shared" si="7"/>
        <v>5.1528802771274138E-6</v>
      </c>
      <c r="N43" s="44">
        <f t="shared" si="2"/>
        <v>5.152880277127414E-2</v>
      </c>
    </row>
    <row r="44" spans="8:14" x14ac:dyDescent="0.25">
      <c r="H44">
        <f t="shared" si="3"/>
        <v>39</v>
      </c>
      <c r="I44">
        <f t="shared" si="0"/>
        <v>109.88843895001568</v>
      </c>
      <c r="K44">
        <f t="shared" si="1"/>
        <v>0.74228897746379929</v>
      </c>
      <c r="L44">
        <f t="shared" si="6"/>
        <v>139.43356717168496</v>
      </c>
      <c r="M44">
        <f t="shared" si="7"/>
        <v>5.1547845657208284E-6</v>
      </c>
      <c r="N44" s="44">
        <f t="shared" si="2"/>
        <v>5.154784565720829E-2</v>
      </c>
    </row>
    <row r="45" spans="8:14" x14ac:dyDescent="0.25">
      <c r="H45">
        <f t="shared" si="3"/>
        <v>40</v>
      </c>
      <c r="I45">
        <f t="shared" si="0"/>
        <v>108.31868425702349</v>
      </c>
      <c r="K45">
        <f t="shared" si="1"/>
        <v>0.74256349922656595</v>
      </c>
      <c r="L45">
        <f t="shared" si="6"/>
        <v>139.38201932602774</v>
      </c>
      <c r="M45">
        <f t="shared" si="7"/>
        <v>5.1566909668511527E-6</v>
      </c>
      <c r="N45" s="44">
        <f t="shared" si="2"/>
        <v>5.1566909668511532E-2</v>
      </c>
    </row>
    <row r="46" spans="8:14" x14ac:dyDescent="0.25">
      <c r="H46">
        <f t="shared" si="3"/>
        <v>41</v>
      </c>
      <c r="I46">
        <f t="shared" si="0"/>
        <v>106.71593464349996</v>
      </c>
      <c r="K46">
        <f t="shared" si="1"/>
        <v>0.74283832575747621</v>
      </c>
      <c r="L46">
        <f t="shared" si="6"/>
        <v>139.33045241635924</v>
      </c>
      <c r="M46">
        <f t="shared" si="7"/>
        <v>5.1585994844269184E-6</v>
      </c>
      <c r="N46" s="44">
        <f t="shared" si="2"/>
        <v>5.1585994844269192E-2</v>
      </c>
    </row>
    <row r="47" spans="8:14" x14ac:dyDescent="0.25">
      <c r="H47">
        <f t="shared" si="3"/>
        <v>42</v>
      </c>
      <c r="I47">
        <f t="shared" si="0"/>
        <v>105.08067832250354</v>
      </c>
      <c r="K47">
        <f t="shared" si="1"/>
        <v>0.74311345762081771</v>
      </c>
      <c r="L47">
        <f t="shared" si="6"/>
        <v>139.27886642151498</v>
      </c>
      <c r="M47">
        <f t="shared" si="7"/>
        <v>5.1605101223667899E-6</v>
      </c>
      <c r="N47" s="44">
        <f t="shared" si="2"/>
        <v>5.1605101223667904E-2</v>
      </c>
    </row>
    <row r="48" spans="8:14" x14ac:dyDescent="0.25">
      <c r="H48">
        <f t="shared" si="3"/>
        <v>43</v>
      </c>
      <c r="I48">
        <f t="shared" si="0"/>
        <v>103.4134134089507</v>
      </c>
      <c r="K48">
        <f t="shared" si="1"/>
        <v>0.74338889538234176</v>
      </c>
      <c r="L48">
        <f t="shared" si="6"/>
        <v>139.22726132029132</v>
      </c>
      <c r="M48">
        <f t="shared" si="7"/>
        <v>5.1624228845995955E-6</v>
      </c>
      <c r="N48" s="44">
        <f t="shared" si="2"/>
        <v>5.1624228845995962E-2</v>
      </c>
    </row>
    <row r="49" spans="8:14" x14ac:dyDescent="0.25">
      <c r="H49">
        <f t="shared" si="3"/>
        <v>44</v>
      </c>
      <c r="I49">
        <f t="shared" si="0"/>
        <v>101.71464776788528</v>
      </c>
      <c r="K49">
        <f t="shared" si="1"/>
        <v>0.74366463960926832</v>
      </c>
      <c r="L49">
        <f t="shared" ref="L49:L112" si="8">MAX(I49,L48-N48)</f>
        <v>139.17563709144531</v>
      </c>
      <c r="M49">
        <f t="shared" ref="M49:M112" si="9">K49*$E$9</f>
        <v>5.1643377750643637E-6</v>
      </c>
      <c r="N49" s="44">
        <f t="shared" si="2"/>
        <v>5.1643377750643642E-2</v>
      </c>
    </row>
    <row r="50" spans="8:14" x14ac:dyDescent="0.25">
      <c r="H50">
        <f t="shared" si="3"/>
        <v>45</v>
      </c>
      <c r="I50">
        <f t="shared" si="0"/>
        <v>99.984898859777829</v>
      </c>
      <c r="K50">
        <f t="shared" si="1"/>
        <v>0.7439406908702908</v>
      </c>
      <c r="L50">
        <f t="shared" si="8"/>
        <v>139.12399371369466</v>
      </c>
      <c r="M50">
        <f t="shared" si="9"/>
        <v>5.1662547977103534E-6</v>
      </c>
      <c r="N50" s="44">
        <f t="shared" si="2"/>
        <v>5.166254797710354E-2</v>
      </c>
    </row>
    <row r="51" spans="8:14" x14ac:dyDescent="0.25">
      <c r="H51">
        <f t="shared" si="3"/>
        <v>46</v>
      </c>
      <c r="I51">
        <f t="shared" si="0"/>
        <v>98.224693582902219</v>
      </c>
      <c r="K51">
        <f t="shared" si="1"/>
        <v>0.744217049735581</v>
      </c>
      <c r="L51">
        <f t="shared" si="8"/>
        <v>139.07233116571754</v>
      </c>
      <c r="M51">
        <f t="shared" si="9"/>
        <v>5.1681739564970905E-6</v>
      </c>
      <c r="N51" s="44">
        <f t="shared" si="2"/>
        <v>5.1681739564970908E-2</v>
      </c>
    </row>
    <row r="52" spans="8:14" x14ac:dyDescent="0.25">
      <c r="H52">
        <f t="shared" si="3"/>
        <v>47</v>
      </c>
      <c r="I52">
        <f t="shared" si="0"/>
        <v>96.434568112837283</v>
      </c>
      <c r="K52">
        <f t="shared" si="1"/>
        <v>0.74449371677679399</v>
      </c>
      <c r="L52">
        <f t="shared" si="8"/>
        <v>139.02064942615257</v>
      </c>
      <c r="M52">
        <f t="shared" si="9"/>
        <v>5.1700952553944032E-6</v>
      </c>
      <c r="N52" s="44">
        <f t="shared" si="2"/>
        <v>5.1700952553944038E-2</v>
      </c>
    </row>
    <row r="53" spans="8:14" x14ac:dyDescent="0.25">
      <c r="H53">
        <f t="shared" si="3"/>
        <v>48</v>
      </c>
      <c r="I53">
        <f t="shared" si="0"/>
        <v>94.61506773914256</v>
      </c>
      <c r="K53">
        <f t="shared" si="1"/>
        <v>0.74477069256707351</v>
      </c>
      <c r="L53">
        <f t="shared" si="8"/>
        <v>138.96894847359863</v>
      </c>
      <c r="M53">
        <f t="shared" si="9"/>
        <v>5.1720186983824553E-6</v>
      </c>
      <c r="N53" s="44">
        <f t="shared" si="2"/>
        <v>5.1720186983824558E-2</v>
      </c>
    </row>
    <row r="54" spans="8:14" x14ac:dyDescent="0.25">
      <c r="H54">
        <f t="shared" si="3"/>
        <v>49</v>
      </c>
      <c r="I54">
        <f t="shared" si="0"/>
        <v>92.766746699257737</v>
      </c>
      <c r="K54">
        <f t="shared" si="1"/>
        <v>0.74504797768105635</v>
      </c>
      <c r="L54">
        <f t="shared" si="8"/>
        <v>138.9172282866148</v>
      </c>
      <c r="M54">
        <f t="shared" si="9"/>
        <v>5.1739442894517809E-6</v>
      </c>
      <c r="N54" s="44">
        <f t="shared" si="2"/>
        <v>5.1739442894517811E-2</v>
      </c>
    </row>
    <row r="55" spans="8:14" x14ac:dyDescent="0.25">
      <c r="H55">
        <f t="shared" si="3"/>
        <v>50</v>
      </c>
      <c r="I55">
        <f t="shared" si="0"/>
        <v>90.890168009676671</v>
      </c>
      <c r="K55">
        <f t="shared" si="1"/>
        <v>0.74532557269487798</v>
      </c>
      <c r="L55">
        <f t="shared" si="8"/>
        <v>138.86548884372027</v>
      </c>
      <c r="M55">
        <f t="shared" si="9"/>
        <v>5.1758720326033196E-6</v>
      </c>
      <c r="N55" s="44">
        <f t="shared" si="2"/>
        <v>5.1758720326033202E-2</v>
      </c>
    </row>
    <row r="56" spans="8:14" x14ac:dyDescent="0.25">
      <c r="H56">
        <f t="shared" si="3"/>
        <v>51</v>
      </c>
      <c r="I56">
        <f t="shared" si="0"/>
        <v>88.985903294447027</v>
      </c>
      <c r="K56">
        <f t="shared" si="1"/>
        <v>0.74560347818617678</v>
      </c>
      <c r="L56">
        <f t="shared" si="8"/>
        <v>138.81373012339424</v>
      </c>
      <c r="M56">
        <f t="shared" si="9"/>
        <v>5.1778019318484502E-6</v>
      </c>
      <c r="N56" s="44">
        <f t="shared" si="2"/>
        <v>5.1778019318484504E-2</v>
      </c>
    </row>
    <row r="57" spans="8:14" x14ac:dyDescent="0.25">
      <c r="H57">
        <f t="shared" si="3"/>
        <v>52</v>
      </c>
      <c r="I57">
        <f t="shared" si="0"/>
        <v>87.054532611048089</v>
      </c>
      <c r="K57">
        <f t="shared" si="1"/>
        <v>0.74588169473409971</v>
      </c>
      <c r="L57">
        <f t="shared" si="8"/>
        <v>138.76195210407576</v>
      </c>
      <c r="M57">
        <f t="shared" si="9"/>
        <v>5.1797339912090256E-6</v>
      </c>
      <c r="N57" s="44">
        <f t="shared" si="2"/>
        <v>5.1797339912090262E-2</v>
      </c>
    </row>
    <row r="58" spans="8:14" x14ac:dyDescent="0.25">
      <c r="H58">
        <f t="shared" si="3"/>
        <v>53</v>
      </c>
      <c r="I58">
        <f t="shared" si="0"/>
        <v>85.096644273699638</v>
      </c>
      <c r="K58">
        <f t="shared" si="1"/>
        <v>0.7461602229193075</v>
      </c>
      <c r="L58">
        <f t="shared" si="8"/>
        <v>138.71015476416366</v>
      </c>
      <c r="M58">
        <f t="shared" si="9"/>
        <v>5.1816682147174132E-6</v>
      </c>
      <c r="N58" s="44">
        <f t="shared" si="2"/>
        <v>5.1816682147174137E-2</v>
      </c>
    </row>
    <row r="59" spans="8:14" x14ac:dyDescent="0.25">
      <c r="H59">
        <f t="shared" si="3"/>
        <v>54</v>
      </c>
      <c r="I59">
        <f t="shared" si="0"/>
        <v>83.112834674155707</v>
      </c>
      <c r="K59">
        <f t="shared" si="1"/>
        <v>0.74643906332397902</v>
      </c>
      <c r="L59">
        <f t="shared" si="8"/>
        <v>138.65833808201648</v>
      </c>
      <c r="M59">
        <f t="shared" si="9"/>
        <v>5.1836046064165215E-6</v>
      </c>
      <c r="N59" s="44">
        <f t="shared" si="2"/>
        <v>5.1836046064165218E-2</v>
      </c>
    </row>
    <row r="60" spans="8:14" x14ac:dyDescent="0.25">
      <c r="H60">
        <f t="shared" si="3"/>
        <v>55</v>
      </c>
      <c r="I60">
        <f t="shared" si="0"/>
        <v>81.103708100037935</v>
      </c>
      <c r="K60">
        <f t="shared" si="1"/>
        <v>0.74671821653181714</v>
      </c>
      <c r="L60">
        <f t="shared" si="8"/>
        <v>138.60650203595233</v>
      </c>
      <c r="M60">
        <f t="shared" si="9"/>
        <v>5.1855431703598419E-6</v>
      </c>
      <c r="N60" s="44">
        <f t="shared" si="2"/>
        <v>5.1855431703598423E-2</v>
      </c>
    </row>
    <row r="61" spans="8:14" x14ac:dyDescent="0.25">
      <c r="H61">
        <f t="shared" si="3"/>
        <v>56</v>
      </c>
      <c r="I61">
        <f t="shared" si="0"/>
        <v>79.069876550763595</v>
      </c>
      <c r="K61">
        <f t="shared" si="1"/>
        <v>0.74699768312805326</v>
      </c>
      <c r="L61">
        <f t="shared" si="8"/>
        <v>138.55464660424875</v>
      </c>
      <c r="M61">
        <f t="shared" si="9"/>
        <v>5.1874839106114809E-6</v>
      </c>
      <c r="N61" s="44">
        <f t="shared" si="2"/>
        <v>5.187483910611481E-2</v>
      </c>
    </row>
    <row r="62" spans="8:14" x14ac:dyDescent="0.25">
      <c r="H62">
        <f t="shared" si="3"/>
        <v>57</v>
      </c>
      <c r="I62">
        <f t="shared" si="0"/>
        <v>77.011959551124832</v>
      </c>
      <c r="K62">
        <f t="shared" si="1"/>
        <v>0.74727746369945303</v>
      </c>
      <c r="L62">
        <f t="shared" si="8"/>
        <v>138.50277176514263</v>
      </c>
      <c r="M62">
        <f t="shared" si="9"/>
        <v>5.1894268312462014E-6</v>
      </c>
      <c r="N62" s="44">
        <f t="shared" si="2"/>
        <v>5.1894268312462022E-2</v>
      </c>
    </row>
    <row r="63" spans="8:14" x14ac:dyDescent="0.25">
      <c r="H63">
        <f t="shared" si="3"/>
        <v>58</v>
      </c>
      <c r="I63">
        <f t="shared" si="0"/>
        <v>74.93058396257517</v>
      </c>
      <c r="K63">
        <f t="shared" si="1"/>
        <v>0.74755755883432107</v>
      </c>
      <c r="L63">
        <f t="shared" si="8"/>
        <v>138.45087749683017</v>
      </c>
      <c r="M63">
        <f t="shared" si="9"/>
        <v>5.1913719363494517E-6</v>
      </c>
      <c r="N63" s="44">
        <f t="shared" si="2"/>
        <v>5.1913719363494523E-2</v>
      </c>
    </row>
    <row r="64" spans="8:14" x14ac:dyDescent="0.25">
      <c r="H64">
        <f t="shared" si="3"/>
        <v>59</v>
      </c>
      <c r="I64">
        <f t="shared" si="0"/>
        <v>72.826383792281661</v>
      </c>
      <c r="K64">
        <f t="shared" si="1"/>
        <v>0.74783796912250633</v>
      </c>
      <c r="L64">
        <f t="shared" si="8"/>
        <v>138.39896377746669</v>
      </c>
      <c r="M64">
        <f t="shared" si="9"/>
        <v>5.1933192300174052E-6</v>
      </c>
      <c r="N64" s="44">
        <f t="shared" si="2"/>
        <v>5.1933192300174055E-2</v>
      </c>
    </row>
    <row r="65" spans="8:14" x14ac:dyDescent="0.25">
      <c r="H65">
        <f t="shared" si="3"/>
        <v>60</v>
      </c>
      <c r="I65">
        <f t="shared" si="0"/>
        <v>70.700000000000017</v>
      </c>
      <c r="K65">
        <f t="shared" si="1"/>
        <v>0.7481186951554073</v>
      </c>
      <c r="L65">
        <f t="shared" si="8"/>
        <v>138.34703058516652</v>
      </c>
      <c r="M65">
        <f t="shared" si="9"/>
        <v>5.1952687163569952E-6</v>
      </c>
      <c r="N65" s="44">
        <f t="shared" si="2"/>
        <v>5.1952687163569954E-2</v>
      </c>
    </row>
    <row r="66" spans="8:14" x14ac:dyDescent="0.25">
      <c r="H66">
        <f t="shared" si="3"/>
        <v>61</v>
      </c>
      <c r="I66">
        <f t="shared" si="0"/>
        <v>68.552080302832067</v>
      </c>
      <c r="K66">
        <f t="shared" si="1"/>
        <v>0.74839973752597744</v>
      </c>
      <c r="L66">
        <f t="shared" si="8"/>
        <v>138.29507789800294</v>
      </c>
      <c r="M66">
        <f t="shared" si="9"/>
        <v>5.1972203994859546E-6</v>
      </c>
      <c r="N66" s="44">
        <f t="shared" si="2"/>
        <v>5.197220399485955E-2</v>
      </c>
    </row>
    <row r="67" spans="8:14" x14ac:dyDescent="0.25">
      <c r="H67">
        <f t="shared" si="3"/>
        <v>62</v>
      </c>
      <c r="I67">
        <f t="shared" si="0"/>
        <v>66.383278977924974</v>
      </c>
      <c r="K67">
        <f t="shared" si="1"/>
        <v>0.74868109682872985</v>
      </c>
      <c r="L67">
        <f t="shared" si="8"/>
        <v>138.24310569400808</v>
      </c>
      <c r="M67">
        <f t="shared" si="9"/>
        <v>5.1991742835328465E-6</v>
      </c>
      <c r="N67" s="44">
        <f t="shared" si="2"/>
        <v>5.1991742835328467E-2</v>
      </c>
    </row>
    <row r="68" spans="8:14" x14ac:dyDescent="0.25">
      <c r="H68">
        <f t="shared" si="3"/>
        <v>63</v>
      </c>
      <c r="I68">
        <f t="shared" si="0"/>
        <v>64.194256663171927</v>
      </c>
      <c r="K68">
        <f t="shared" si="1"/>
        <v>0.7489627736597434</v>
      </c>
      <c r="L68">
        <f t="shared" si="8"/>
        <v>138.19111395117275</v>
      </c>
      <c r="M68">
        <f t="shared" si="9"/>
        <v>5.2011303726371074E-6</v>
      </c>
      <c r="N68" s="44">
        <f t="shared" si="2"/>
        <v>5.2011303726371076E-2</v>
      </c>
    </row>
    <row r="69" spans="8:14" x14ac:dyDescent="0.25">
      <c r="H69">
        <f t="shared" si="3"/>
        <v>64</v>
      </c>
      <c r="I69">
        <f t="shared" si="0"/>
        <v>61.985680155975558</v>
      </c>
      <c r="K69">
        <f t="shared" si="1"/>
        <v>0.74924476861666722</v>
      </c>
      <c r="L69">
        <f t="shared" si="8"/>
        <v>138.13910264744638</v>
      </c>
      <c r="M69">
        <f t="shared" si="9"/>
        <v>5.2030886709490784E-6</v>
      </c>
      <c r="N69" s="44">
        <f t="shared" si="2"/>
        <v>5.2030886709490791E-2</v>
      </c>
    </row>
    <row r="70" spans="8:14" x14ac:dyDescent="0.25">
      <c r="H70">
        <f t="shared" si="3"/>
        <v>65</v>
      </c>
      <c r="I70">
        <f t="shared" ref="I70:I133" si="10">ABS($E$5*COS(RADIANS(H70)))</f>
        <v>59.758222210134903</v>
      </c>
      <c r="K70">
        <f t="shared" ref="K70:K133" si="11">$E$7/L70</f>
        <v>0.74952708229872667</v>
      </c>
      <c r="L70">
        <f t="shared" si="8"/>
        <v>138.08707176073688</v>
      </c>
      <c r="M70">
        <f t="shared" si="9"/>
        <v>5.2050491826300469E-6</v>
      </c>
      <c r="N70" s="44">
        <f t="shared" ref="N70:N133" si="12">M70/E$11</f>
        <v>5.205049182630047E-2</v>
      </c>
    </row>
    <row r="71" spans="8:14" x14ac:dyDescent="0.25">
      <c r="H71">
        <f t="shared" ref="H71:H134" si="13">H70+1</f>
        <v>66</v>
      </c>
      <c r="I71">
        <f t="shared" si="10"/>
        <v>57.512561330918153</v>
      </c>
      <c r="K71">
        <f t="shared" si="11"/>
        <v>0.74980971530672813</v>
      </c>
      <c r="L71">
        <f t="shared" si="8"/>
        <v>138.03502126891058</v>
      </c>
      <c r="M71">
        <f t="shared" si="9"/>
        <v>5.2070119118522786E-6</v>
      </c>
      <c r="N71" s="44">
        <f t="shared" si="12"/>
        <v>5.2070119118522794E-2</v>
      </c>
    </row>
    <row r="72" spans="8:14" x14ac:dyDescent="0.25">
      <c r="H72">
        <f t="shared" si="13"/>
        <v>67</v>
      </c>
      <c r="I72">
        <f t="shared" si="10"/>
        <v>55.249381568383306</v>
      </c>
      <c r="K72">
        <f t="shared" si="11"/>
        <v>0.75009266824306486</v>
      </c>
      <c r="L72">
        <f t="shared" si="8"/>
        <v>137.98295114979206</v>
      </c>
      <c r="M72">
        <f t="shared" si="9"/>
        <v>5.2089768627990618E-6</v>
      </c>
      <c r="N72" s="44">
        <f t="shared" si="12"/>
        <v>5.2089768627990619E-2</v>
      </c>
    </row>
    <row r="73" spans="8:14" x14ac:dyDescent="0.25">
      <c r="H73">
        <f t="shared" si="13"/>
        <v>68</v>
      </c>
      <c r="I73">
        <f t="shared" si="10"/>
        <v>52.969372309009955</v>
      </c>
      <c r="K73">
        <f t="shared" si="11"/>
        <v>0.75037594171172217</v>
      </c>
      <c r="L73">
        <f t="shared" si="8"/>
        <v>137.93086138116408</v>
      </c>
      <c r="M73">
        <f t="shared" si="9"/>
        <v>5.2109440396647376E-6</v>
      </c>
      <c r="N73" s="44">
        <f t="shared" si="12"/>
        <v>5.2109440396647382E-2</v>
      </c>
    </row>
    <row r="74" spans="8:14" x14ac:dyDescent="0.25">
      <c r="H74">
        <f t="shared" si="13"/>
        <v>69</v>
      </c>
      <c r="I74">
        <f t="shared" si="10"/>
        <v>50.673228065705473</v>
      </c>
      <c r="K74">
        <f t="shared" si="11"/>
        <v>0.75065953631828264</v>
      </c>
      <c r="L74">
        <f t="shared" si="8"/>
        <v>137.87875194076744</v>
      </c>
      <c r="M74">
        <f t="shared" si="9"/>
        <v>5.2129134466547408E-6</v>
      </c>
      <c r="N74" s="44">
        <f t="shared" si="12"/>
        <v>5.2129134466547412E-2</v>
      </c>
    </row>
    <row r="75" spans="8:14" x14ac:dyDescent="0.25">
      <c r="H75">
        <f t="shared" si="13"/>
        <v>70</v>
      </c>
      <c r="I75">
        <f t="shared" si="10"/>
        <v>48.361648266249574</v>
      </c>
      <c r="K75">
        <f t="shared" si="11"/>
        <v>0.75094345266993212</v>
      </c>
      <c r="L75">
        <f t="shared" si="8"/>
        <v>137.82662280630089</v>
      </c>
      <c r="M75">
        <f t="shared" si="9"/>
        <v>5.2148850879856402E-6</v>
      </c>
      <c r="N75" s="44">
        <f t="shared" si="12"/>
        <v>5.2148850879856407E-2</v>
      </c>
    </row>
    <row r="76" spans="8:14" x14ac:dyDescent="0.25">
      <c r="H76">
        <f t="shared" si="13"/>
        <v>71</v>
      </c>
      <c r="I76">
        <f t="shared" si="10"/>
        <v>46.03533704024197</v>
      </c>
      <c r="K76">
        <f t="shared" si="11"/>
        <v>0.75122769137546452</v>
      </c>
      <c r="L76">
        <f t="shared" si="8"/>
        <v>137.77447395542103</v>
      </c>
      <c r="M76">
        <f t="shared" si="9"/>
        <v>5.2168589678851705E-6</v>
      </c>
      <c r="N76" s="44">
        <f t="shared" si="12"/>
        <v>5.2168589678851712E-2</v>
      </c>
    </row>
    <row r="77" spans="8:14" x14ac:dyDescent="0.25">
      <c r="H77">
        <f t="shared" si="13"/>
        <v>72</v>
      </c>
      <c r="I77">
        <f t="shared" si="10"/>
        <v>43.695003004617568</v>
      </c>
      <c r="K77">
        <f t="shared" si="11"/>
        <v>0.75151225304528746</v>
      </c>
      <c r="L77">
        <f t="shared" si="8"/>
        <v>137.72230536574219</v>
      </c>
      <c r="M77">
        <f t="shared" si="9"/>
        <v>5.2188350905922742E-6</v>
      </c>
      <c r="N77" s="44">
        <f t="shared" si="12"/>
        <v>5.2188350905922748E-2</v>
      </c>
    </row>
    <row r="78" spans="8:14" x14ac:dyDescent="0.25">
      <c r="H78">
        <f t="shared" si="13"/>
        <v>73</v>
      </c>
      <c r="I78">
        <f t="shared" si="10"/>
        <v>41.341359047794981</v>
      </c>
      <c r="K78">
        <f t="shared" si="11"/>
        <v>0.75179713829142858</v>
      </c>
      <c r="L78">
        <f t="shared" si="8"/>
        <v>137.67011701483625</v>
      </c>
      <c r="M78">
        <f t="shared" si="9"/>
        <v>5.2208134603571432E-6</v>
      </c>
      <c r="N78" s="44">
        <f t="shared" si="12"/>
        <v>5.2208134603571439E-2</v>
      </c>
    </row>
    <row r="79" spans="8:14" x14ac:dyDescent="0.25">
      <c r="H79">
        <f t="shared" si="13"/>
        <v>74</v>
      </c>
      <c r="I79">
        <f t="shared" si="10"/>
        <v>38.975122112523685</v>
      </c>
      <c r="K79">
        <f t="shared" si="11"/>
        <v>0.75208234772753957</v>
      </c>
      <c r="L79">
        <f t="shared" si="8"/>
        <v>137.61790888023268</v>
      </c>
      <c r="M79">
        <f t="shared" si="9"/>
        <v>5.2227940814412476E-6</v>
      </c>
      <c r="N79" s="44">
        <f t="shared" si="12"/>
        <v>5.2227940814412482E-2</v>
      </c>
    </row>
    <row r="80" spans="8:14" x14ac:dyDescent="0.25">
      <c r="H80">
        <f t="shared" si="13"/>
        <v>75</v>
      </c>
      <c r="I80">
        <f t="shared" si="10"/>
        <v>36.597012977496433</v>
      </c>
      <c r="K80">
        <f t="shared" si="11"/>
        <v>0.75236788196890292</v>
      </c>
      <c r="L80">
        <f t="shared" si="8"/>
        <v>137.56568093941826</v>
      </c>
      <c r="M80">
        <f t="shared" si="9"/>
        <v>5.2247769581173818E-6</v>
      </c>
      <c r="N80" s="44">
        <f t="shared" si="12"/>
        <v>5.2247769581173824E-2</v>
      </c>
    </row>
    <row r="81" spans="8:14" x14ac:dyDescent="0.25">
      <c r="H81">
        <f t="shared" si="13"/>
        <v>76</v>
      </c>
      <c r="I81">
        <f t="shared" si="10"/>
        <v>34.207756037793011</v>
      </c>
      <c r="K81">
        <f t="shared" si="11"/>
        <v>0.75265374163243737</v>
      </c>
      <c r="L81">
        <f t="shared" si="8"/>
        <v>137.51343316983707</v>
      </c>
      <c r="M81">
        <f t="shared" si="9"/>
        <v>5.2267620946697045E-6</v>
      </c>
      <c r="N81" s="44">
        <f t="shared" si="12"/>
        <v>5.2267620946697048E-2</v>
      </c>
    </row>
    <row r="82" spans="8:14" x14ac:dyDescent="0.25">
      <c r="H82">
        <f t="shared" si="13"/>
        <v>77</v>
      </c>
      <c r="I82">
        <f t="shared" si="10"/>
        <v>31.808079084222502</v>
      </c>
      <c r="K82">
        <f t="shared" si="11"/>
        <v>0.7529399273367029</v>
      </c>
      <c r="L82">
        <f t="shared" si="8"/>
        <v>137.46116554889036</v>
      </c>
      <c r="M82">
        <f t="shared" si="9"/>
        <v>5.2287494953937705E-6</v>
      </c>
      <c r="N82" s="44">
        <f t="shared" si="12"/>
        <v>5.228749495393771E-2</v>
      </c>
    </row>
    <row r="83" spans="8:14" x14ac:dyDescent="0.25">
      <c r="H83">
        <f t="shared" si="13"/>
        <v>78</v>
      </c>
      <c r="I83">
        <f t="shared" si="10"/>
        <v>29.39871308163119</v>
      </c>
      <c r="K83">
        <f t="shared" si="11"/>
        <v>0.75322643970190672</v>
      </c>
      <c r="L83">
        <f t="shared" si="8"/>
        <v>137.40887805393643</v>
      </c>
      <c r="M83">
        <f t="shared" si="9"/>
        <v>5.2307391645965746E-6</v>
      </c>
      <c r="N83" s="44">
        <f t="shared" si="12"/>
        <v>5.2307391645965748E-2</v>
      </c>
    </row>
    <row r="84" spans="8:14" x14ac:dyDescent="0.25">
      <c r="H84">
        <f t="shared" si="13"/>
        <v>79</v>
      </c>
      <c r="I84">
        <f t="shared" si="10"/>
        <v>26.980391946243451</v>
      </c>
      <c r="K84">
        <f t="shared" si="11"/>
        <v>0.75351327934990908</v>
      </c>
      <c r="L84">
        <f t="shared" si="8"/>
        <v>137.35657066229047</v>
      </c>
      <c r="M84">
        <f t="shared" si="9"/>
        <v>5.2327311065965914E-6</v>
      </c>
      <c r="N84" s="44">
        <f t="shared" si="12"/>
        <v>5.2327311065965922E-2</v>
      </c>
    </row>
    <row r="85" spans="8:14" x14ac:dyDescent="0.25">
      <c r="H85">
        <f t="shared" si="13"/>
        <v>80</v>
      </c>
      <c r="I85">
        <f t="shared" si="10"/>
        <v>24.55385232210396</v>
      </c>
      <c r="K85">
        <f t="shared" si="11"/>
        <v>0.75380044690422865</v>
      </c>
      <c r="L85">
        <f t="shared" si="8"/>
        <v>137.3042433512245</v>
      </c>
      <c r="M85">
        <f t="shared" si="9"/>
        <v>5.2347253257238103E-6</v>
      </c>
      <c r="N85" s="44">
        <f t="shared" si="12"/>
        <v>5.2347253257238109E-2</v>
      </c>
    </row>
    <row r="86" spans="8:14" x14ac:dyDescent="0.25">
      <c r="H86">
        <f t="shared" si="13"/>
        <v>81</v>
      </c>
      <c r="I86">
        <f t="shared" si="10"/>
        <v>22.119833356688655</v>
      </c>
      <c r="K86">
        <f t="shared" si="11"/>
        <v>0.75408794299004855</v>
      </c>
      <c r="L86">
        <f t="shared" si="8"/>
        <v>137.25189609796726</v>
      </c>
      <c r="M86">
        <f t="shared" si="9"/>
        <v>5.2367218263197816E-6</v>
      </c>
      <c r="N86" s="44">
        <f t="shared" si="12"/>
        <v>5.2367218263197818E-2</v>
      </c>
    </row>
    <row r="87" spans="8:14" x14ac:dyDescent="0.25">
      <c r="H87">
        <f t="shared" si="13"/>
        <v>82</v>
      </c>
      <c r="I87">
        <f t="shared" si="10"/>
        <v>19.679076475753259</v>
      </c>
      <c r="K87">
        <f t="shared" si="11"/>
        <v>0.75437576823422137</v>
      </c>
      <c r="L87">
        <f t="shared" si="8"/>
        <v>137.19952887970408</v>
      </c>
      <c r="M87">
        <f t="shared" si="9"/>
        <v>5.238720612737649E-6</v>
      </c>
      <c r="N87" s="44">
        <f t="shared" si="12"/>
        <v>5.2387206127376497E-2</v>
      </c>
    </row>
    <row r="88" spans="8:14" x14ac:dyDescent="0.25">
      <c r="H88">
        <f t="shared" si="13"/>
        <v>83</v>
      </c>
      <c r="I88">
        <f t="shared" si="10"/>
        <v>17.232325157487857</v>
      </c>
      <c r="K88">
        <f t="shared" si="11"/>
        <v>0.75466392326527587</v>
      </c>
      <c r="L88">
        <f t="shared" si="8"/>
        <v>137.1471416735767</v>
      </c>
      <c r="M88">
        <f t="shared" si="9"/>
        <v>5.2407216893421936E-6</v>
      </c>
      <c r="N88" s="44">
        <f t="shared" si="12"/>
        <v>5.240721689342194E-2</v>
      </c>
    </row>
    <row r="89" spans="8:14" x14ac:dyDescent="0.25">
      <c r="H89">
        <f t="shared" si="13"/>
        <v>84</v>
      </c>
      <c r="I89">
        <f t="shared" si="10"/>
        <v>14.7803247060462</v>
      </c>
      <c r="K89">
        <f t="shared" si="11"/>
        <v>0.75495240871342184</v>
      </c>
      <c r="L89">
        <f t="shared" si="8"/>
        <v>137.09473445668328</v>
      </c>
      <c r="M89">
        <f t="shared" si="9"/>
        <v>5.2427250605098745E-6</v>
      </c>
      <c r="N89" s="44">
        <f t="shared" si="12"/>
        <v>5.2427250605098751E-2</v>
      </c>
    </row>
    <row r="90" spans="8:14" x14ac:dyDescent="0.25">
      <c r="H90">
        <f t="shared" si="13"/>
        <v>85</v>
      </c>
      <c r="I90">
        <f t="shared" si="10"/>
        <v>12.323822024518861</v>
      </c>
      <c r="K90">
        <f t="shared" si="11"/>
        <v>0.7552412252105567</v>
      </c>
      <c r="L90">
        <f t="shared" si="8"/>
        <v>137.04230720607819</v>
      </c>
      <c r="M90">
        <f t="shared" si="9"/>
        <v>5.2447307306288663E-6</v>
      </c>
      <c r="N90" s="44">
        <f t="shared" si="12"/>
        <v>5.2447307306288667E-2</v>
      </c>
    </row>
    <row r="91" spans="8:14" x14ac:dyDescent="0.25">
      <c r="H91">
        <f t="shared" si="13"/>
        <v>86</v>
      </c>
      <c r="I91">
        <f t="shared" si="10"/>
        <v>9.8635653874193085</v>
      </c>
      <c r="K91">
        <f t="shared" si="11"/>
        <v>0.75553037339027074</v>
      </c>
      <c r="L91">
        <f t="shared" si="8"/>
        <v>136.9898598987719</v>
      </c>
      <c r="M91">
        <f t="shared" si="9"/>
        <v>5.2467387040991027E-6</v>
      </c>
      <c r="N91" s="44">
        <f t="shared" si="12"/>
        <v>5.2467387040991034E-2</v>
      </c>
    </row>
    <row r="92" spans="8:14" x14ac:dyDescent="0.25">
      <c r="H92">
        <f t="shared" si="13"/>
        <v>87</v>
      </c>
      <c r="I92">
        <f t="shared" si="10"/>
        <v>7.4003042127522773</v>
      </c>
      <c r="K92">
        <f t="shared" si="11"/>
        <v>0.75581985388785278</v>
      </c>
      <c r="L92">
        <f t="shared" si="8"/>
        <v>136.93739251173091</v>
      </c>
      <c r="M92">
        <f t="shared" si="9"/>
        <v>5.2487489853323109E-6</v>
      </c>
      <c r="N92" s="44">
        <f t="shared" si="12"/>
        <v>5.2487489853323112E-2</v>
      </c>
    </row>
    <row r="93" spans="8:14" x14ac:dyDescent="0.25">
      <c r="H93">
        <f t="shared" si="13"/>
        <v>88</v>
      </c>
      <c r="I93">
        <f t="shared" si="10"/>
        <v>4.934788833733653</v>
      </c>
      <c r="K93">
        <f t="shared" si="11"/>
        <v>0.75610966734029694</v>
      </c>
      <c r="L93">
        <f t="shared" si="8"/>
        <v>136.88490502187759</v>
      </c>
      <c r="M93">
        <f t="shared" si="9"/>
        <v>5.2507615787520627E-6</v>
      </c>
      <c r="N93" s="44">
        <f t="shared" si="12"/>
        <v>5.2507615787520633E-2</v>
      </c>
    </row>
    <row r="94" spans="8:14" x14ac:dyDescent="0.25">
      <c r="H94">
        <f t="shared" si="13"/>
        <v>89</v>
      </c>
      <c r="I94">
        <f t="shared" si="10"/>
        <v>2.4677702702319011</v>
      </c>
      <c r="K94">
        <f t="shared" si="11"/>
        <v>0.75639981438630766</v>
      </c>
      <c r="L94">
        <f t="shared" si="8"/>
        <v>136.83239740609005</v>
      </c>
      <c r="M94">
        <f t="shared" si="9"/>
        <v>5.252776488793803E-6</v>
      </c>
      <c r="N94" s="44">
        <f t="shared" si="12"/>
        <v>5.2527764887938033E-2</v>
      </c>
    </row>
    <row r="95" spans="8:14" x14ac:dyDescent="0.25">
      <c r="H95">
        <f t="shared" si="13"/>
        <v>90</v>
      </c>
      <c r="I95">
        <f t="shared" si="10"/>
        <v>8.6617995762039435E-15</v>
      </c>
      <c r="K95">
        <f t="shared" si="11"/>
        <v>0.75669029566630586</v>
      </c>
      <c r="L95">
        <f t="shared" si="8"/>
        <v>136.77986964120211</v>
      </c>
      <c r="M95">
        <f t="shared" si="9"/>
        <v>5.2547937199049021E-6</v>
      </c>
      <c r="N95" s="44">
        <f t="shared" si="12"/>
        <v>5.2547937199049023E-2</v>
      </c>
    </row>
    <row r="96" spans="8:14" x14ac:dyDescent="0.25">
      <c r="H96">
        <f t="shared" si="13"/>
        <v>91</v>
      </c>
      <c r="I96">
        <f t="shared" si="10"/>
        <v>2.4677702702318838</v>
      </c>
      <c r="K96">
        <f t="shared" si="11"/>
        <v>0.7569811118224351</v>
      </c>
      <c r="L96">
        <f t="shared" si="8"/>
        <v>136.72732170400306</v>
      </c>
      <c r="M96">
        <f t="shared" si="9"/>
        <v>5.2568132765446884E-6</v>
      </c>
      <c r="N96" s="44">
        <f t="shared" si="12"/>
        <v>5.256813276544689E-2</v>
      </c>
    </row>
    <row r="97" spans="8:14" x14ac:dyDescent="0.25">
      <c r="H97">
        <f t="shared" si="13"/>
        <v>92</v>
      </c>
      <c r="I97">
        <f t="shared" si="10"/>
        <v>4.9347888337336352</v>
      </c>
      <c r="K97">
        <f t="shared" si="11"/>
        <v>0.75727226349856736</v>
      </c>
      <c r="L97">
        <f t="shared" si="8"/>
        <v>136.6747535712376</v>
      </c>
      <c r="M97">
        <f t="shared" si="9"/>
        <v>5.2588351631844958E-6</v>
      </c>
      <c r="N97" s="44">
        <f t="shared" si="12"/>
        <v>5.2588351631844964E-2</v>
      </c>
    </row>
    <row r="98" spans="8:14" x14ac:dyDescent="0.25">
      <c r="H98">
        <f t="shared" si="13"/>
        <v>93</v>
      </c>
      <c r="I98">
        <f t="shared" si="10"/>
        <v>7.4003042127522596</v>
      </c>
      <c r="K98">
        <f t="shared" si="11"/>
        <v>0.75756375134030873</v>
      </c>
      <c r="L98">
        <f t="shared" si="8"/>
        <v>136.62216521960576</v>
      </c>
      <c r="M98">
        <f t="shared" si="9"/>
        <v>5.2608593843076999E-6</v>
      </c>
      <c r="N98" s="44">
        <f t="shared" si="12"/>
        <v>5.2608593843077006E-2</v>
      </c>
    </row>
    <row r="99" spans="8:14" x14ac:dyDescent="0.25">
      <c r="H99">
        <f t="shared" si="13"/>
        <v>94</v>
      </c>
      <c r="I99">
        <f t="shared" si="10"/>
        <v>9.8635653874193228</v>
      </c>
      <c r="K99">
        <f t="shared" si="11"/>
        <v>0.75785557599500619</v>
      </c>
      <c r="L99">
        <f t="shared" si="8"/>
        <v>136.56955662576269</v>
      </c>
      <c r="M99">
        <f t="shared" si="9"/>
        <v>5.2628859444097656E-6</v>
      </c>
      <c r="N99" s="44">
        <f t="shared" si="12"/>
        <v>5.2628859444097661E-2</v>
      </c>
    </row>
    <row r="100" spans="8:14" x14ac:dyDescent="0.25">
      <c r="H100">
        <f t="shared" si="13"/>
        <v>95</v>
      </c>
      <c r="I100">
        <f t="shared" si="10"/>
        <v>12.323822024518876</v>
      </c>
      <c r="K100">
        <f t="shared" si="11"/>
        <v>0.75814773811175296</v>
      </c>
      <c r="L100">
        <f t="shared" si="8"/>
        <v>136.51692776631859</v>
      </c>
      <c r="M100">
        <f t="shared" si="9"/>
        <v>5.2649148479982846E-6</v>
      </c>
      <c r="N100" s="44">
        <f t="shared" si="12"/>
        <v>5.2649148479982852E-2</v>
      </c>
    </row>
    <row r="101" spans="8:14" x14ac:dyDescent="0.25">
      <c r="H101">
        <f t="shared" si="13"/>
        <v>96</v>
      </c>
      <c r="I101">
        <f t="shared" si="10"/>
        <v>14.780324706046214</v>
      </c>
      <c r="K101">
        <f t="shared" si="11"/>
        <v>0.75844023834139473</v>
      </c>
      <c r="L101">
        <f t="shared" si="8"/>
        <v>136.4642786178386</v>
      </c>
      <c r="M101">
        <f t="shared" si="9"/>
        <v>5.2669460995930196E-6</v>
      </c>
      <c r="N101" s="44">
        <f t="shared" si="12"/>
        <v>5.2669460995930201E-2</v>
      </c>
    </row>
    <row r="102" spans="8:14" x14ac:dyDescent="0.25">
      <c r="H102">
        <f t="shared" si="13"/>
        <v>97</v>
      </c>
      <c r="I102">
        <f t="shared" si="10"/>
        <v>17.232325157487839</v>
      </c>
      <c r="K102">
        <f t="shared" si="11"/>
        <v>0.75873307733653572</v>
      </c>
      <c r="L102">
        <f t="shared" si="8"/>
        <v>136.41160915684267</v>
      </c>
      <c r="M102">
        <f t="shared" si="9"/>
        <v>5.2689797037259424E-6</v>
      </c>
      <c r="N102" s="44">
        <f t="shared" si="12"/>
        <v>5.2689797037259428E-2</v>
      </c>
    </row>
    <row r="103" spans="8:14" x14ac:dyDescent="0.25">
      <c r="H103">
        <f t="shared" si="13"/>
        <v>98</v>
      </c>
      <c r="I103">
        <f t="shared" si="10"/>
        <v>19.679076475753241</v>
      </c>
      <c r="K103">
        <f t="shared" si="11"/>
        <v>0.75902625575154525</v>
      </c>
      <c r="L103">
        <f t="shared" si="8"/>
        <v>136.35891935980541</v>
      </c>
      <c r="M103">
        <f t="shared" si="9"/>
        <v>5.2710156649412866E-6</v>
      </c>
      <c r="N103" s="44">
        <f t="shared" si="12"/>
        <v>5.2710156649412872E-2</v>
      </c>
    </row>
    <row r="104" spans="8:14" x14ac:dyDescent="0.25">
      <c r="H104">
        <f t="shared" si="13"/>
        <v>99</v>
      </c>
      <c r="I104">
        <f t="shared" si="10"/>
        <v>22.119833356688638</v>
      </c>
      <c r="K104">
        <f t="shared" si="11"/>
        <v>0.75931977424256325</v>
      </c>
      <c r="L104">
        <f t="shared" si="8"/>
        <v>136.30620920315599</v>
      </c>
      <c r="M104">
        <f t="shared" si="9"/>
        <v>5.2730539877955787E-6</v>
      </c>
      <c r="N104" s="44">
        <f t="shared" si="12"/>
        <v>5.2730539877955791E-2</v>
      </c>
    </row>
    <row r="105" spans="8:14" x14ac:dyDescent="0.25">
      <c r="H105">
        <f t="shared" si="13"/>
        <v>100</v>
      </c>
      <c r="I105">
        <f t="shared" si="10"/>
        <v>24.553852322103946</v>
      </c>
      <c r="K105">
        <f t="shared" si="11"/>
        <v>0.75961363346750654</v>
      </c>
      <c r="L105">
        <f t="shared" si="8"/>
        <v>136.25347866327803</v>
      </c>
      <c r="M105">
        <f t="shared" si="9"/>
        <v>5.2750946768576847E-6</v>
      </c>
      <c r="N105" s="44">
        <f t="shared" si="12"/>
        <v>5.2750946768576848E-2</v>
      </c>
    </row>
    <row r="106" spans="8:14" x14ac:dyDescent="0.25">
      <c r="H106">
        <f t="shared" si="13"/>
        <v>101</v>
      </c>
      <c r="I106">
        <f t="shared" si="10"/>
        <v>26.980391946243437</v>
      </c>
      <c r="K106">
        <f t="shared" si="11"/>
        <v>0.75990783408607543</v>
      </c>
      <c r="L106">
        <f t="shared" si="8"/>
        <v>136.20072771650945</v>
      </c>
      <c r="M106">
        <f t="shared" si="9"/>
        <v>5.2771377367088577E-6</v>
      </c>
      <c r="N106" s="44">
        <f t="shared" si="12"/>
        <v>5.2771377367088583E-2</v>
      </c>
    </row>
    <row r="107" spans="8:14" x14ac:dyDescent="0.25">
      <c r="H107">
        <f t="shared" si="13"/>
        <v>102</v>
      </c>
      <c r="I107">
        <f t="shared" si="10"/>
        <v>29.398713081631172</v>
      </c>
      <c r="K107">
        <f t="shared" si="11"/>
        <v>0.76020237675975966</v>
      </c>
      <c r="L107">
        <f t="shared" si="8"/>
        <v>136.14795633914235</v>
      </c>
      <c r="M107">
        <f t="shared" si="9"/>
        <v>5.2791831719427759E-6</v>
      </c>
      <c r="N107" s="44">
        <f t="shared" si="12"/>
        <v>5.2791831719427765E-2</v>
      </c>
    </row>
    <row r="108" spans="8:14" x14ac:dyDescent="0.25">
      <c r="H108">
        <f t="shared" si="13"/>
        <v>103</v>
      </c>
      <c r="I108">
        <f t="shared" si="10"/>
        <v>31.808079084222516</v>
      </c>
      <c r="K108">
        <f t="shared" si="11"/>
        <v>0.76049726215184432</v>
      </c>
      <c r="L108">
        <f t="shared" si="8"/>
        <v>136.09516450742294</v>
      </c>
      <c r="M108">
        <f t="shared" si="9"/>
        <v>5.2812309871655858E-6</v>
      </c>
      <c r="N108" s="44">
        <f t="shared" si="12"/>
        <v>5.281230987165586E-2</v>
      </c>
    </row>
    <row r="109" spans="8:14" x14ac:dyDescent="0.25">
      <c r="H109">
        <f t="shared" si="13"/>
        <v>104</v>
      </c>
      <c r="I109">
        <f t="shared" si="10"/>
        <v>34.207756037793025</v>
      </c>
      <c r="K109">
        <f t="shared" si="11"/>
        <v>0.76079249092741696</v>
      </c>
      <c r="L109">
        <f t="shared" si="8"/>
        <v>136.04235219755128</v>
      </c>
      <c r="M109">
        <f t="shared" si="9"/>
        <v>5.2832811869959515E-6</v>
      </c>
      <c r="N109" s="44">
        <f t="shared" si="12"/>
        <v>5.2832811869959521E-2</v>
      </c>
    </row>
    <row r="110" spans="8:14" x14ac:dyDescent="0.25">
      <c r="H110">
        <f t="shared" si="13"/>
        <v>105</v>
      </c>
      <c r="I110">
        <f t="shared" si="10"/>
        <v>36.597012977496448</v>
      </c>
      <c r="K110">
        <f t="shared" si="11"/>
        <v>0.76108806375337312</v>
      </c>
      <c r="L110">
        <f t="shared" si="8"/>
        <v>135.98951938568132</v>
      </c>
      <c r="M110">
        <f t="shared" si="9"/>
        <v>5.2853337760650917E-6</v>
      </c>
      <c r="N110" s="44">
        <f t="shared" si="12"/>
        <v>5.2853337760650924E-2</v>
      </c>
    </row>
    <row r="111" spans="8:14" x14ac:dyDescent="0.25">
      <c r="H111">
        <f t="shared" si="13"/>
        <v>106</v>
      </c>
      <c r="I111">
        <f t="shared" si="10"/>
        <v>38.975122112523671</v>
      </c>
      <c r="K111">
        <f t="shared" si="11"/>
        <v>0.76138398129842288</v>
      </c>
      <c r="L111">
        <f t="shared" si="8"/>
        <v>135.93666604792068</v>
      </c>
      <c r="M111">
        <f t="shared" si="9"/>
        <v>5.2873887590168254E-6</v>
      </c>
      <c r="N111" s="44">
        <f t="shared" si="12"/>
        <v>5.2873887590168256E-2</v>
      </c>
    </row>
    <row r="112" spans="8:14" x14ac:dyDescent="0.25">
      <c r="H112">
        <f t="shared" si="13"/>
        <v>107</v>
      </c>
      <c r="I112">
        <f t="shared" si="10"/>
        <v>41.341359047794967</v>
      </c>
      <c r="K112">
        <f t="shared" si="11"/>
        <v>0.76168024423309755</v>
      </c>
      <c r="L112">
        <f t="shared" si="8"/>
        <v>135.8837921603305</v>
      </c>
      <c r="M112">
        <f t="shared" si="9"/>
        <v>5.2894461405076224E-6</v>
      </c>
      <c r="N112" s="44">
        <f t="shared" si="12"/>
        <v>5.2894461405076226E-2</v>
      </c>
    </row>
    <row r="113" spans="8:14" x14ac:dyDescent="0.25">
      <c r="H113">
        <f t="shared" si="13"/>
        <v>108</v>
      </c>
      <c r="I113">
        <f t="shared" si="10"/>
        <v>43.695003004617554</v>
      </c>
      <c r="K113">
        <f t="shared" si="11"/>
        <v>0.76197685322975528</v>
      </c>
      <c r="L113">
        <f t="shared" ref="L113:L176" si="14">MAX(I113,L112-N112)</f>
        <v>135.83089769892541</v>
      </c>
      <c r="M113">
        <f t="shared" ref="M113:M176" si="15">K113*$E$9</f>
        <v>5.291505925206634E-6</v>
      </c>
      <c r="N113" s="44">
        <f t="shared" si="12"/>
        <v>5.2915059252066347E-2</v>
      </c>
    </row>
    <row r="114" spans="8:14" x14ac:dyDescent="0.25">
      <c r="H114">
        <f t="shared" si="13"/>
        <v>109</v>
      </c>
      <c r="I114">
        <f t="shared" si="10"/>
        <v>46.035337040241949</v>
      </c>
      <c r="K114">
        <f t="shared" si="11"/>
        <v>0.76227380896258834</v>
      </c>
      <c r="L114">
        <f t="shared" si="14"/>
        <v>135.77798263967335</v>
      </c>
      <c r="M114">
        <f t="shared" si="15"/>
        <v>5.2935681177957526E-6</v>
      </c>
      <c r="N114" s="44">
        <f t="shared" si="12"/>
        <v>5.2935681177957529E-2</v>
      </c>
    </row>
    <row r="115" spans="8:14" x14ac:dyDescent="0.25">
      <c r="H115">
        <f t="shared" si="13"/>
        <v>110</v>
      </c>
      <c r="I115">
        <f t="shared" si="10"/>
        <v>48.36164826624956</v>
      </c>
      <c r="K115">
        <f t="shared" si="11"/>
        <v>0.76257111210762896</v>
      </c>
      <c r="L115">
        <f t="shared" si="14"/>
        <v>135.7250469584954</v>
      </c>
      <c r="M115">
        <f t="shared" si="15"/>
        <v>5.2956327229696457E-6</v>
      </c>
      <c r="N115" s="44">
        <f t="shared" si="12"/>
        <v>5.2956327229696461E-2</v>
      </c>
    </row>
    <row r="116" spans="8:14" x14ac:dyDescent="0.25">
      <c r="H116">
        <f t="shared" si="13"/>
        <v>111</v>
      </c>
      <c r="I116">
        <f t="shared" si="10"/>
        <v>50.673228065705459</v>
      </c>
      <c r="K116">
        <f t="shared" si="11"/>
        <v>0.76286876334275622</v>
      </c>
      <c r="L116">
        <f t="shared" si="14"/>
        <v>135.67209063126569</v>
      </c>
      <c r="M116">
        <f t="shared" si="15"/>
        <v>5.2976997454358073E-6</v>
      </c>
      <c r="N116" s="44">
        <f t="shared" si="12"/>
        <v>5.2976997454358077E-2</v>
      </c>
    </row>
    <row r="117" spans="8:14" x14ac:dyDescent="0.25">
      <c r="H117">
        <f t="shared" si="13"/>
        <v>112</v>
      </c>
      <c r="I117">
        <f t="shared" si="10"/>
        <v>52.96937230900997</v>
      </c>
      <c r="K117">
        <f t="shared" si="11"/>
        <v>0.76316676334770195</v>
      </c>
      <c r="L117">
        <f t="shared" si="14"/>
        <v>135.61911363381134</v>
      </c>
      <c r="M117">
        <f t="shared" si="15"/>
        <v>5.299769189914597E-6</v>
      </c>
      <c r="N117" s="44">
        <f t="shared" si="12"/>
        <v>5.2997691899145973E-2</v>
      </c>
    </row>
    <row r="118" spans="8:14" x14ac:dyDescent="0.25">
      <c r="H118">
        <f t="shared" si="13"/>
        <v>113</v>
      </c>
      <c r="I118">
        <f t="shared" si="10"/>
        <v>55.249381568383313</v>
      </c>
      <c r="K118">
        <f t="shared" si="11"/>
        <v>0.76346511280405804</v>
      </c>
      <c r="L118">
        <f t="shared" si="14"/>
        <v>135.56611594191219</v>
      </c>
      <c r="M118">
        <f t="shared" si="15"/>
        <v>5.3018410611392924E-6</v>
      </c>
      <c r="N118" s="44">
        <f t="shared" si="12"/>
        <v>5.3018410611392931E-2</v>
      </c>
    </row>
    <row r="119" spans="8:14" x14ac:dyDescent="0.25">
      <c r="H119">
        <f t="shared" si="13"/>
        <v>114</v>
      </c>
      <c r="I119">
        <f t="shared" si="10"/>
        <v>57.51256133091816</v>
      </c>
      <c r="K119">
        <f t="shared" si="11"/>
        <v>0.76376381239528224</v>
      </c>
      <c r="L119">
        <f t="shared" si="14"/>
        <v>135.51309753130079</v>
      </c>
      <c r="M119">
        <f t="shared" si="15"/>
        <v>5.3039153638561268E-6</v>
      </c>
      <c r="N119" s="44">
        <f t="shared" si="12"/>
        <v>5.3039153638561272E-2</v>
      </c>
    </row>
    <row r="120" spans="8:14" x14ac:dyDescent="0.25">
      <c r="H120">
        <f t="shared" si="13"/>
        <v>115</v>
      </c>
      <c r="I120">
        <f t="shared" si="10"/>
        <v>59.758222210134889</v>
      </c>
      <c r="K120">
        <f t="shared" si="11"/>
        <v>0.7640628628067051</v>
      </c>
      <c r="L120">
        <f t="shared" si="14"/>
        <v>135.46005837766222</v>
      </c>
      <c r="M120">
        <f t="shared" si="15"/>
        <v>5.305992102824341E-6</v>
      </c>
      <c r="N120" s="44">
        <f t="shared" si="12"/>
        <v>5.3059921028243417E-2</v>
      </c>
    </row>
    <row r="121" spans="8:14" x14ac:dyDescent="0.25">
      <c r="H121">
        <f t="shared" si="13"/>
        <v>116</v>
      </c>
      <c r="I121">
        <f t="shared" si="10"/>
        <v>61.985680155975565</v>
      </c>
      <c r="K121">
        <f t="shared" si="11"/>
        <v>0.7643622647255367</v>
      </c>
      <c r="L121">
        <f t="shared" si="14"/>
        <v>135.40699845663397</v>
      </c>
      <c r="M121">
        <f t="shared" si="15"/>
        <v>5.3080712828162271E-6</v>
      </c>
      <c r="N121" s="44">
        <f t="shared" si="12"/>
        <v>5.3080712828162277E-2</v>
      </c>
    </row>
    <row r="122" spans="8:14" x14ac:dyDescent="0.25">
      <c r="H122">
        <f t="shared" si="13"/>
        <v>117</v>
      </c>
      <c r="I122">
        <f t="shared" si="10"/>
        <v>64.194256663171899</v>
      </c>
      <c r="K122">
        <f t="shared" si="11"/>
        <v>0.76466201884087281</v>
      </c>
      <c r="L122">
        <f t="shared" si="14"/>
        <v>135.35391774380582</v>
      </c>
      <c r="M122">
        <f t="shared" si="15"/>
        <v>5.3101529086171722E-6</v>
      </c>
      <c r="N122" s="44">
        <f t="shared" si="12"/>
        <v>5.3101529086171724E-2</v>
      </c>
    </row>
    <row r="123" spans="8:14" x14ac:dyDescent="0.25">
      <c r="H123">
        <f t="shared" si="13"/>
        <v>118</v>
      </c>
      <c r="I123">
        <f t="shared" si="10"/>
        <v>66.383278977924974</v>
      </c>
      <c r="K123">
        <f t="shared" si="11"/>
        <v>0.76496212584370227</v>
      </c>
      <c r="L123">
        <f t="shared" si="14"/>
        <v>135.30081621471965</v>
      </c>
      <c r="M123">
        <f t="shared" si="15"/>
        <v>5.3122369850257104E-6</v>
      </c>
      <c r="N123" s="44">
        <f t="shared" si="12"/>
        <v>5.312236985025711E-2</v>
      </c>
    </row>
    <row r="124" spans="8:14" x14ac:dyDescent="0.25">
      <c r="H124">
        <f t="shared" si="13"/>
        <v>119</v>
      </c>
      <c r="I124">
        <f t="shared" si="10"/>
        <v>68.552080302832053</v>
      </c>
      <c r="K124">
        <f t="shared" si="11"/>
        <v>0.76526258642691281</v>
      </c>
      <c r="L124">
        <f t="shared" si="14"/>
        <v>135.24769384486939</v>
      </c>
      <c r="M124">
        <f t="shared" si="15"/>
        <v>5.3143235168535613E-6</v>
      </c>
      <c r="N124" s="44">
        <f t="shared" si="12"/>
        <v>5.314323516853562E-2</v>
      </c>
    </row>
    <row r="125" spans="8:14" x14ac:dyDescent="0.25">
      <c r="H125">
        <f t="shared" si="13"/>
        <v>120</v>
      </c>
      <c r="I125">
        <f t="shared" si="10"/>
        <v>70.699999999999974</v>
      </c>
      <c r="K125">
        <f t="shared" si="11"/>
        <v>0.76556340128529843</v>
      </c>
      <c r="L125">
        <f t="shared" si="14"/>
        <v>135.19455060970085</v>
      </c>
      <c r="M125">
        <f t="shared" si="15"/>
        <v>5.3164125089256839E-6</v>
      </c>
      <c r="N125" s="44">
        <f t="shared" si="12"/>
        <v>5.3164125089256845E-2</v>
      </c>
    </row>
    <row r="126" spans="8:14" x14ac:dyDescent="0.25">
      <c r="H126">
        <f t="shared" si="13"/>
        <v>121</v>
      </c>
      <c r="I126">
        <f t="shared" si="10"/>
        <v>72.826383792281675</v>
      </c>
      <c r="K126">
        <f t="shared" si="11"/>
        <v>0.76586457111556594</v>
      </c>
      <c r="L126">
        <f t="shared" si="14"/>
        <v>135.14138648461159</v>
      </c>
      <c r="M126">
        <f t="shared" si="15"/>
        <v>5.3185039660803192E-6</v>
      </c>
      <c r="N126" s="44">
        <f t="shared" si="12"/>
        <v>5.31850396608032E-2</v>
      </c>
    </row>
    <row r="127" spans="8:14" x14ac:dyDescent="0.25">
      <c r="H127">
        <f t="shared" si="13"/>
        <v>122</v>
      </c>
      <c r="I127">
        <f t="shared" si="10"/>
        <v>74.930583962575156</v>
      </c>
      <c r="K127">
        <f t="shared" si="11"/>
        <v>0.76616609661634172</v>
      </c>
      <c r="L127">
        <f t="shared" si="14"/>
        <v>135.08820144495078</v>
      </c>
      <c r="M127">
        <f t="shared" si="15"/>
        <v>5.3205978931690401E-6</v>
      </c>
      <c r="N127" s="44">
        <f t="shared" si="12"/>
        <v>5.3205978931690406E-2</v>
      </c>
    </row>
    <row r="128" spans="8:14" x14ac:dyDescent="0.25">
      <c r="H128">
        <f t="shared" si="13"/>
        <v>123</v>
      </c>
      <c r="I128">
        <f t="shared" si="10"/>
        <v>77.011959551124832</v>
      </c>
      <c r="K128">
        <f t="shared" si="11"/>
        <v>0.76646797848817849</v>
      </c>
      <c r="L128">
        <f t="shared" si="14"/>
        <v>135.0349954660191</v>
      </c>
      <c r="M128">
        <f t="shared" si="15"/>
        <v>5.3226942950567953E-6</v>
      </c>
      <c r="N128" s="44">
        <f t="shared" si="12"/>
        <v>5.3226942950567957E-2</v>
      </c>
    </row>
    <row r="129" spans="8:14" x14ac:dyDescent="0.25">
      <c r="H129">
        <f t="shared" si="13"/>
        <v>124</v>
      </c>
      <c r="I129">
        <f t="shared" si="10"/>
        <v>79.069876550763581</v>
      </c>
      <c r="K129">
        <f t="shared" si="11"/>
        <v>0.76677021743356211</v>
      </c>
      <c r="L129">
        <f t="shared" si="14"/>
        <v>134.98176852306852</v>
      </c>
      <c r="M129">
        <f t="shared" si="15"/>
        <v>5.3247931766219594E-6</v>
      </c>
      <c r="N129" s="44">
        <f t="shared" si="12"/>
        <v>5.32479317662196E-2</v>
      </c>
    </row>
    <row r="130" spans="8:14" x14ac:dyDescent="0.25">
      <c r="H130">
        <f t="shared" si="13"/>
        <v>125</v>
      </c>
      <c r="I130">
        <f t="shared" si="10"/>
        <v>81.103708100037935</v>
      </c>
      <c r="K130">
        <f t="shared" si="11"/>
        <v>0.76707281415691853</v>
      </c>
      <c r="L130">
        <f t="shared" si="14"/>
        <v>134.92852059130232</v>
      </c>
      <c r="M130">
        <f t="shared" si="15"/>
        <v>5.3268945427563789E-6</v>
      </c>
      <c r="N130" s="44">
        <f t="shared" si="12"/>
        <v>5.3268945427563795E-2</v>
      </c>
    </row>
    <row r="131" spans="8:14" x14ac:dyDescent="0.25">
      <c r="H131">
        <f t="shared" si="13"/>
        <v>126</v>
      </c>
      <c r="I131">
        <f t="shared" si="10"/>
        <v>83.112834674155692</v>
      </c>
      <c r="K131">
        <f t="shared" si="11"/>
        <v>0.76737576936462093</v>
      </c>
      <c r="L131">
        <f t="shared" si="14"/>
        <v>134.87525164587476</v>
      </c>
      <c r="M131">
        <f t="shared" si="15"/>
        <v>5.3289983983654232E-6</v>
      </c>
      <c r="N131" s="44">
        <f t="shared" si="12"/>
        <v>5.3289983983654234E-2</v>
      </c>
    </row>
    <row r="132" spans="8:14" x14ac:dyDescent="0.25">
      <c r="H132">
        <f t="shared" si="13"/>
        <v>127</v>
      </c>
      <c r="I132">
        <f t="shared" si="10"/>
        <v>85.096644273699638</v>
      </c>
      <c r="K132">
        <f t="shared" si="11"/>
        <v>0.76767908376499616</v>
      </c>
      <c r="L132">
        <f t="shared" si="14"/>
        <v>134.82196166189109</v>
      </c>
      <c r="M132">
        <f t="shared" si="15"/>
        <v>5.3311047483680294E-6</v>
      </c>
      <c r="N132" s="44">
        <f t="shared" si="12"/>
        <v>5.3311047483680297E-2</v>
      </c>
    </row>
    <row r="133" spans="8:14" x14ac:dyDescent="0.25">
      <c r="H133">
        <f t="shared" si="13"/>
        <v>128</v>
      </c>
      <c r="I133">
        <f t="shared" si="10"/>
        <v>87.054532611048089</v>
      </c>
      <c r="K133">
        <f t="shared" si="11"/>
        <v>0.76798275806833183</v>
      </c>
      <c r="L133">
        <f t="shared" si="14"/>
        <v>134.76865061440742</v>
      </c>
      <c r="M133">
        <f t="shared" si="15"/>
        <v>5.3332135976967491E-6</v>
      </c>
      <c r="N133" s="44">
        <f t="shared" si="12"/>
        <v>5.3332135976967496E-2</v>
      </c>
    </row>
    <row r="134" spans="8:14" x14ac:dyDescent="0.25">
      <c r="H134">
        <f t="shared" si="13"/>
        <v>129</v>
      </c>
      <c r="I134">
        <f t="shared" ref="I134:I185" si="16">ABS($E$5*COS(RADIANS(H134)))</f>
        <v>88.985903294446999</v>
      </c>
      <c r="K134">
        <f t="shared" ref="K134:K185" si="17">$E$7/L134</f>
        <v>0.76828679298688374</v>
      </c>
      <c r="L134">
        <f t="shared" si="14"/>
        <v>134.71531847843045</v>
      </c>
      <c r="M134">
        <f t="shared" si="15"/>
        <v>5.335324951297804E-6</v>
      </c>
      <c r="N134" s="44">
        <f t="shared" ref="N134:N185" si="18">M134/E$11</f>
        <v>5.3353249512978047E-2</v>
      </c>
    </row>
    <row r="135" spans="8:14" x14ac:dyDescent="0.25">
      <c r="H135">
        <f t="shared" ref="H135:H185" si="19">H134+1</f>
        <v>130</v>
      </c>
      <c r="I135">
        <f t="shared" si="16"/>
        <v>90.890168009676671</v>
      </c>
      <c r="K135">
        <f t="shared" si="17"/>
        <v>0.76859118923488201</v>
      </c>
      <c r="L135">
        <f t="shared" si="14"/>
        <v>134.66196522891747</v>
      </c>
      <c r="M135">
        <f t="shared" si="15"/>
        <v>5.3374388141311253E-6</v>
      </c>
      <c r="N135" s="44">
        <f t="shared" si="18"/>
        <v>5.3374388141311256E-2</v>
      </c>
    </row>
    <row r="136" spans="8:14" x14ac:dyDescent="0.25">
      <c r="H136">
        <f t="shared" si="19"/>
        <v>131</v>
      </c>
      <c r="I136">
        <f t="shared" si="16"/>
        <v>92.766746699257723</v>
      </c>
      <c r="K136">
        <f t="shared" si="17"/>
        <v>0.76889594752853907</v>
      </c>
      <c r="L136">
        <f t="shared" si="14"/>
        <v>134.60859084077615</v>
      </c>
      <c r="M136">
        <f t="shared" si="15"/>
        <v>5.3395551911704106E-6</v>
      </c>
      <c r="N136" s="44">
        <f t="shared" si="18"/>
        <v>5.3395551911704107E-2</v>
      </c>
    </row>
    <row r="137" spans="8:14" x14ac:dyDescent="0.25">
      <c r="H137">
        <f t="shared" si="19"/>
        <v>132</v>
      </c>
      <c r="I137">
        <f t="shared" si="16"/>
        <v>94.61506773914256</v>
      </c>
      <c r="K137">
        <f t="shared" si="17"/>
        <v>0.76920106858605619</v>
      </c>
      <c r="L137">
        <f t="shared" si="14"/>
        <v>134.55519528886444</v>
      </c>
      <c r="M137">
        <f t="shared" si="15"/>
        <v>5.3416740874031679E-6</v>
      </c>
      <c r="N137" s="44">
        <f t="shared" si="18"/>
        <v>5.3416740874031685E-2</v>
      </c>
    </row>
    <row r="138" spans="8:14" x14ac:dyDescent="0.25">
      <c r="H138">
        <f t="shared" si="19"/>
        <v>133</v>
      </c>
      <c r="I138">
        <f t="shared" si="16"/>
        <v>96.434568112837269</v>
      </c>
      <c r="K138">
        <f t="shared" si="17"/>
        <v>0.76950655312763072</v>
      </c>
      <c r="L138">
        <f t="shared" si="14"/>
        <v>134.5017785479904</v>
      </c>
      <c r="M138">
        <f t="shared" si="15"/>
        <v>5.3437955078307694E-6</v>
      </c>
      <c r="N138" s="44">
        <f t="shared" si="18"/>
        <v>5.3437955078307696E-2</v>
      </c>
    </row>
    <row r="139" spans="8:14" x14ac:dyDescent="0.25">
      <c r="H139">
        <f t="shared" si="19"/>
        <v>134</v>
      </c>
      <c r="I139">
        <f t="shared" si="16"/>
        <v>98.224693582902233</v>
      </c>
      <c r="K139">
        <f t="shared" si="17"/>
        <v>0.76981240187546318</v>
      </c>
      <c r="L139">
        <f t="shared" si="14"/>
        <v>134.4483405929121</v>
      </c>
      <c r="M139">
        <f t="shared" si="15"/>
        <v>5.3459194574684944E-6</v>
      </c>
      <c r="N139" s="44">
        <f t="shared" si="18"/>
        <v>5.3459194574684947E-2</v>
      </c>
    </row>
    <row r="140" spans="8:14" x14ac:dyDescent="0.25">
      <c r="H140">
        <f t="shared" si="19"/>
        <v>135</v>
      </c>
      <c r="I140">
        <f t="shared" si="16"/>
        <v>99.984898859777815</v>
      </c>
      <c r="K140">
        <f t="shared" si="17"/>
        <v>0.7701186155537646</v>
      </c>
      <c r="L140">
        <f t="shared" si="14"/>
        <v>134.39488139833742</v>
      </c>
      <c r="M140">
        <f t="shared" si="15"/>
        <v>5.3480459413455877E-6</v>
      </c>
      <c r="N140" s="44">
        <f t="shared" si="18"/>
        <v>5.3480459413455882E-2</v>
      </c>
    </row>
    <row r="141" spans="8:14" x14ac:dyDescent="0.25">
      <c r="H141">
        <f t="shared" si="19"/>
        <v>136</v>
      </c>
      <c r="I141">
        <f t="shared" si="16"/>
        <v>101.71464776788528</v>
      </c>
      <c r="K141">
        <f t="shared" si="17"/>
        <v>0.77042519488876349</v>
      </c>
      <c r="L141">
        <f t="shared" si="14"/>
        <v>134.34140093892395</v>
      </c>
      <c r="M141">
        <f t="shared" si="15"/>
        <v>5.350174964505302E-6</v>
      </c>
      <c r="N141" s="44">
        <f t="shared" si="18"/>
        <v>5.3501749645053026E-2</v>
      </c>
    </row>
    <row r="142" spans="8:14" x14ac:dyDescent="0.25">
      <c r="H142">
        <f t="shared" si="19"/>
        <v>137</v>
      </c>
      <c r="I142">
        <f t="shared" si="16"/>
        <v>103.4134134089507</v>
      </c>
      <c r="K142">
        <f t="shared" si="17"/>
        <v>0.77073214060871309</v>
      </c>
      <c r="L142">
        <f t="shared" si="14"/>
        <v>134.2878991892789</v>
      </c>
      <c r="M142">
        <f t="shared" si="15"/>
        <v>5.3523065320049526E-6</v>
      </c>
      <c r="N142" s="44">
        <f t="shared" si="18"/>
        <v>5.352306532004953E-2</v>
      </c>
    </row>
    <row r="143" spans="8:14" x14ac:dyDescent="0.25">
      <c r="H143">
        <f t="shared" si="19"/>
        <v>138</v>
      </c>
      <c r="I143">
        <f t="shared" si="16"/>
        <v>105.08067832250352</v>
      </c>
      <c r="K143">
        <f t="shared" si="17"/>
        <v>0.7710394534438989</v>
      </c>
      <c r="L143">
        <f t="shared" si="14"/>
        <v>134.23437612395887</v>
      </c>
      <c r="M143">
        <f t="shared" si="15"/>
        <v>5.3544406489159645E-6</v>
      </c>
      <c r="N143" s="44">
        <f t="shared" si="18"/>
        <v>5.3544406489159653E-2</v>
      </c>
    </row>
    <row r="144" spans="8:14" x14ac:dyDescent="0.25">
      <c r="H144">
        <f t="shared" si="19"/>
        <v>139</v>
      </c>
      <c r="I144">
        <f t="shared" si="16"/>
        <v>106.71593464349996</v>
      </c>
      <c r="K144">
        <f t="shared" si="17"/>
        <v>0.77134713412664579</v>
      </c>
      <c r="L144">
        <f t="shared" si="14"/>
        <v>134.18083171746972</v>
      </c>
      <c r="M144">
        <f t="shared" si="15"/>
        <v>5.3565773203239295E-6</v>
      </c>
      <c r="N144" s="44">
        <f t="shared" si="18"/>
        <v>5.3565773203239297E-2</v>
      </c>
    </row>
    <row r="145" spans="8:14" x14ac:dyDescent="0.25">
      <c r="H145">
        <f t="shared" si="19"/>
        <v>140</v>
      </c>
      <c r="I145">
        <f t="shared" si="16"/>
        <v>108.31868425702348</v>
      </c>
      <c r="K145">
        <f t="shared" si="17"/>
        <v>0.77165518339132533</v>
      </c>
      <c r="L145">
        <f t="shared" si="14"/>
        <v>134.12726594426647</v>
      </c>
      <c r="M145">
        <f t="shared" si="15"/>
        <v>5.3587165513286484E-6</v>
      </c>
      <c r="N145" s="44">
        <f t="shared" si="18"/>
        <v>5.3587165513286489E-2</v>
      </c>
    </row>
    <row r="146" spans="8:14" x14ac:dyDescent="0.25">
      <c r="H146">
        <f t="shared" si="19"/>
        <v>141</v>
      </c>
      <c r="I146">
        <f t="shared" si="16"/>
        <v>109.88843895001568</v>
      </c>
      <c r="K146">
        <f t="shared" si="17"/>
        <v>0.77196360197436276</v>
      </c>
      <c r="L146">
        <f t="shared" si="14"/>
        <v>134.07367877875319</v>
      </c>
      <c r="M146">
        <f t="shared" si="15"/>
        <v>5.3608583470441859E-6</v>
      </c>
      <c r="N146" s="44">
        <f t="shared" si="18"/>
        <v>5.360858347044186E-2</v>
      </c>
    </row>
    <row r="147" spans="8:14" x14ac:dyDescent="0.25">
      <c r="H147">
        <f t="shared" si="19"/>
        <v>142</v>
      </c>
      <c r="I147">
        <f t="shared" si="16"/>
        <v>111.42472055999048</v>
      </c>
      <c r="K147">
        <f t="shared" si="17"/>
        <v>0.77227239061424546</v>
      </c>
      <c r="L147">
        <f t="shared" si="14"/>
        <v>134.02007019528276</v>
      </c>
      <c r="M147">
        <f t="shared" si="15"/>
        <v>5.3630027125989275E-6</v>
      </c>
      <c r="N147" s="44">
        <f t="shared" si="18"/>
        <v>5.3630027125989278E-2</v>
      </c>
    </row>
    <row r="148" spans="8:14" x14ac:dyDescent="0.25">
      <c r="H148">
        <f t="shared" si="19"/>
        <v>143</v>
      </c>
      <c r="I148">
        <f t="shared" si="16"/>
        <v>112.92706112068723</v>
      </c>
      <c r="K148">
        <f t="shared" si="17"/>
        <v>0.77258155005152918</v>
      </c>
      <c r="L148">
        <f t="shared" si="14"/>
        <v>133.96644016815677</v>
      </c>
      <c r="M148">
        <f t="shared" si="15"/>
        <v>5.3651496531356194E-6</v>
      </c>
      <c r="N148" s="44">
        <f t="shared" si="18"/>
        <v>5.3651496531356202E-2</v>
      </c>
    </row>
    <row r="149" spans="8:14" x14ac:dyDescent="0.25">
      <c r="H149">
        <f t="shared" si="19"/>
        <v>144</v>
      </c>
      <c r="I149">
        <f t="shared" si="16"/>
        <v>114.39500300461756</v>
      </c>
      <c r="K149">
        <f t="shared" si="17"/>
        <v>0.77289108102884629</v>
      </c>
      <c r="L149">
        <f t="shared" si="14"/>
        <v>133.91278867162541</v>
      </c>
      <c r="M149">
        <f t="shared" si="15"/>
        <v>5.3672991738114327E-6</v>
      </c>
      <c r="N149" s="44">
        <f t="shared" si="18"/>
        <v>5.367299173811433E-2</v>
      </c>
    </row>
    <row r="150" spans="8:14" x14ac:dyDescent="0.25">
      <c r="H150">
        <f t="shared" si="19"/>
        <v>145</v>
      </c>
      <c r="I150">
        <f t="shared" si="16"/>
        <v>115.82809906246347</v>
      </c>
      <c r="K150">
        <f t="shared" si="17"/>
        <v>0.77320098429091277</v>
      </c>
      <c r="L150">
        <f t="shared" si="14"/>
        <v>133.85911567988728</v>
      </c>
      <c r="M150">
        <f t="shared" si="15"/>
        <v>5.3694512797980058E-6</v>
      </c>
      <c r="N150" s="44">
        <f t="shared" si="18"/>
        <v>5.3694512797980064E-2</v>
      </c>
    </row>
    <row r="151" spans="8:14" x14ac:dyDescent="0.25">
      <c r="H151">
        <f t="shared" si="19"/>
        <v>146</v>
      </c>
      <c r="I151">
        <f t="shared" si="16"/>
        <v>117.22591275928289</v>
      </c>
      <c r="K151">
        <f t="shared" si="17"/>
        <v>0.77351126058453601</v>
      </c>
      <c r="L151">
        <f t="shared" si="14"/>
        <v>133.80542116708929</v>
      </c>
      <c r="M151">
        <f t="shared" si="15"/>
        <v>5.3716059762815004E-6</v>
      </c>
      <c r="N151" s="44">
        <f t="shared" si="18"/>
        <v>5.3716059762815009E-2</v>
      </c>
    </row>
    <row r="152" spans="8:14" x14ac:dyDescent="0.25">
      <c r="H152">
        <f t="shared" si="19"/>
        <v>147</v>
      </c>
      <c r="I152">
        <f t="shared" si="16"/>
        <v>118.58801830748295</v>
      </c>
      <c r="K152">
        <f t="shared" si="17"/>
        <v>0.77382191065862249</v>
      </c>
      <c r="L152">
        <f t="shared" si="14"/>
        <v>133.75170510732647</v>
      </c>
      <c r="M152">
        <f t="shared" si="15"/>
        <v>5.3737632684626565E-6</v>
      </c>
      <c r="N152" s="44">
        <f t="shared" si="18"/>
        <v>5.3737632684626571E-2</v>
      </c>
    </row>
    <row r="153" spans="8:14" x14ac:dyDescent="0.25">
      <c r="H153">
        <f t="shared" si="19"/>
        <v>148</v>
      </c>
      <c r="I153">
        <f t="shared" si="16"/>
        <v>119.91400079651864</v>
      </c>
      <c r="K153">
        <f t="shared" si="17"/>
        <v>0.77413293526418481</v>
      </c>
      <c r="L153">
        <f t="shared" si="14"/>
        <v>133.69796747464184</v>
      </c>
      <c r="M153">
        <f t="shared" si="15"/>
        <v>5.3759231615568396E-6</v>
      </c>
      <c r="N153" s="44">
        <f t="shared" si="18"/>
        <v>5.3759231615568399E-2</v>
      </c>
    </row>
    <row r="154" spans="8:14" x14ac:dyDescent="0.25">
      <c r="H154">
        <f t="shared" si="19"/>
        <v>149</v>
      </c>
      <c r="I154">
        <f t="shared" si="16"/>
        <v>121.20345631927867</v>
      </c>
      <c r="K154">
        <f t="shared" si="17"/>
        <v>0.77444433515435018</v>
      </c>
      <c r="L154">
        <f t="shared" si="14"/>
        <v>133.64420824302627</v>
      </c>
      <c r="M154">
        <f t="shared" si="15"/>
        <v>5.3780856607940988E-6</v>
      </c>
      <c r="N154" s="44">
        <f t="shared" si="18"/>
        <v>5.3780856607940991E-2</v>
      </c>
    </row>
    <row r="155" spans="8:14" x14ac:dyDescent="0.25">
      <c r="H155">
        <f t="shared" si="19"/>
        <v>150</v>
      </c>
      <c r="I155">
        <f t="shared" si="16"/>
        <v>122.45599209511964</v>
      </c>
      <c r="K155">
        <f t="shared" si="17"/>
        <v>0.77475611108436715</v>
      </c>
      <c r="L155">
        <f t="shared" si="14"/>
        <v>133.59042738641833</v>
      </c>
      <c r="M155">
        <f t="shared" si="15"/>
        <v>5.3802507714192163E-6</v>
      </c>
      <c r="N155" s="44">
        <f t="shared" si="18"/>
        <v>5.380250771419217E-2</v>
      </c>
    </row>
    <row r="156" spans="8:14" x14ac:dyDescent="0.25">
      <c r="H156">
        <f t="shared" si="19"/>
        <v>151</v>
      </c>
      <c r="I156">
        <f t="shared" si="16"/>
        <v>123.67122658951057</v>
      </c>
      <c r="K156">
        <f t="shared" si="17"/>
        <v>0.77506826381161398</v>
      </c>
      <c r="L156">
        <f t="shared" si="14"/>
        <v>133.53662487870415</v>
      </c>
      <c r="M156">
        <f t="shared" si="15"/>
        <v>5.3824184986917637E-6</v>
      </c>
      <c r="N156" s="44">
        <f t="shared" si="18"/>
        <v>5.3824184986917642E-2</v>
      </c>
    </row>
    <row r="157" spans="8:14" x14ac:dyDescent="0.25">
      <c r="H157">
        <f t="shared" si="19"/>
        <v>152</v>
      </c>
      <c r="I157">
        <f t="shared" si="16"/>
        <v>124.84878963025228</v>
      </c>
      <c r="K157">
        <f t="shared" si="17"/>
        <v>0.77538079409560623</v>
      </c>
      <c r="L157">
        <f t="shared" si="14"/>
        <v>133.48280069371722</v>
      </c>
      <c r="M157">
        <f t="shared" si="15"/>
        <v>5.3845888478861548E-6</v>
      </c>
      <c r="N157" s="44">
        <f t="shared" si="18"/>
        <v>5.3845888478861556E-2</v>
      </c>
    </row>
    <row r="158" spans="8:14" x14ac:dyDescent="0.25">
      <c r="H158">
        <f t="shared" si="19"/>
        <v>153</v>
      </c>
      <c r="I158">
        <f t="shared" si="16"/>
        <v>125.98832252023522</v>
      </c>
      <c r="K158">
        <f t="shared" si="17"/>
        <v>0.77569370269800419</v>
      </c>
      <c r="L158">
        <f t="shared" si="14"/>
        <v>133.42895480523836</v>
      </c>
      <c r="M158">
        <f t="shared" si="15"/>
        <v>5.3867618242916964E-6</v>
      </c>
      <c r="N158" s="44">
        <f t="shared" si="18"/>
        <v>5.386761824291697E-2</v>
      </c>
    </row>
    <row r="159" spans="8:14" x14ac:dyDescent="0.25">
      <c r="H159">
        <f t="shared" si="19"/>
        <v>154</v>
      </c>
      <c r="I159">
        <f t="shared" si="16"/>
        <v>127.08947814670222</v>
      </c>
      <c r="K159">
        <f t="shared" si="17"/>
        <v>0.77600699038262089</v>
      </c>
      <c r="L159">
        <f t="shared" si="14"/>
        <v>133.37508718699544</v>
      </c>
      <c r="M159">
        <f t="shared" si="15"/>
        <v>5.388937433212645E-6</v>
      </c>
      <c r="N159" s="44">
        <f t="shared" si="18"/>
        <v>5.3889374332126455E-2</v>
      </c>
    </row>
    <row r="160" spans="8:14" x14ac:dyDescent="0.25">
      <c r="H160">
        <f t="shared" si="19"/>
        <v>155</v>
      </c>
      <c r="I160">
        <f t="shared" si="16"/>
        <v>128.1519210869823</v>
      </c>
      <c r="K160">
        <f t="shared" si="17"/>
        <v>0.77632065791543026</v>
      </c>
      <c r="L160">
        <f t="shared" si="14"/>
        <v>133.32119781266331</v>
      </c>
      <c r="M160">
        <f t="shared" si="15"/>
        <v>5.391115679968266E-6</v>
      </c>
      <c r="N160" s="44">
        <f t="shared" si="18"/>
        <v>5.3911156799682662E-2</v>
      </c>
    </row>
    <row r="161" spans="8:14" x14ac:dyDescent="0.25">
      <c r="H161">
        <f t="shared" si="19"/>
        <v>156</v>
      </c>
      <c r="I161">
        <f t="shared" si="16"/>
        <v>129.17532771066377</v>
      </c>
      <c r="K161">
        <f t="shared" si="17"/>
        <v>0.77663470606457408</v>
      </c>
      <c r="L161">
        <f t="shared" si="14"/>
        <v>133.26728665586364</v>
      </c>
      <c r="M161">
        <f t="shared" si="15"/>
        <v>5.3932965698928755E-6</v>
      </c>
      <c r="N161" s="44">
        <f t="shared" si="18"/>
        <v>5.3932965698928761E-2</v>
      </c>
    </row>
    <row r="162" spans="8:14" x14ac:dyDescent="0.25">
      <c r="H162">
        <f t="shared" si="19"/>
        <v>157</v>
      </c>
      <c r="I162">
        <f t="shared" si="16"/>
        <v>130.15938627817508</v>
      </c>
      <c r="K162">
        <f t="shared" si="17"/>
        <v>0.77694913560037115</v>
      </c>
      <c r="L162">
        <f t="shared" si="14"/>
        <v>133.21335369016472</v>
      </c>
      <c r="M162">
        <f t="shared" si="15"/>
        <v>5.3954801083359109E-6</v>
      </c>
      <c r="N162" s="44">
        <f t="shared" si="18"/>
        <v>5.3954801083359115E-2</v>
      </c>
    </row>
    <row r="163" spans="8:14" x14ac:dyDescent="0.25">
      <c r="H163">
        <f t="shared" si="19"/>
        <v>158</v>
      </c>
      <c r="I163">
        <f t="shared" si="16"/>
        <v>131.10379703574372</v>
      </c>
      <c r="K163">
        <f t="shared" si="17"/>
        <v>0.77726394729532433</v>
      </c>
      <c r="L163">
        <f t="shared" si="14"/>
        <v>133.15939888908136</v>
      </c>
      <c r="M163">
        <f t="shared" si="15"/>
        <v>5.397666300661975E-6</v>
      </c>
      <c r="N163" s="44">
        <f t="shared" si="18"/>
        <v>5.3976663006619754E-2</v>
      </c>
    </row>
    <row r="164" spans="8:14" x14ac:dyDescent="0.25">
      <c r="H164">
        <f t="shared" si="19"/>
        <v>159</v>
      </c>
      <c r="I164">
        <f t="shared" si="16"/>
        <v>132.00827230670433</v>
      </c>
      <c r="K164">
        <f t="shared" si="17"/>
        <v>0.77757914192412825</v>
      </c>
      <c r="L164">
        <f t="shared" si="14"/>
        <v>133.10542222607475</v>
      </c>
      <c r="M164">
        <f t="shared" si="15"/>
        <v>5.3998551522508909E-6</v>
      </c>
      <c r="N164" s="44">
        <f t="shared" si="18"/>
        <v>5.399855152250891E-2</v>
      </c>
    </row>
    <row r="165" spans="8:14" x14ac:dyDescent="0.25">
      <c r="H165">
        <f t="shared" si="19"/>
        <v>160</v>
      </c>
      <c r="I165">
        <f t="shared" si="16"/>
        <v>132.87253657912746</v>
      </c>
      <c r="K165">
        <f t="shared" si="17"/>
        <v>0.77789472026367856</v>
      </c>
      <c r="L165">
        <f t="shared" si="14"/>
        <v>133.05142367455224</v>
      </c>
      <c r="M165">
        <f t="shared" si="15"/>
        <v>5.4020466684977678E-6</v>
      </c>
      <c r="N165" s="44">
        <f t="shared" si="18"/>
        <v>5.4020466684977682E-2</v>
      </c>
    </row>
    <row r="166" spans="8:14" x14ac:dyDescent="0.25">
      <c r="H166">
        <f t="shared" si="19"/>
        <v>161</v>
      </c>
      <c r="I166">
        <f t="shared" si="16"/>
        <v>133.69632658974342</v>
      </c>
      <c r="K166">
        <f t="shared" si="17"/>
        <v>0.77414243637072411</v>
      </c>
      <c r="L166">
        <f t="shared" si="14"/>
        <v>133.69632658974342</v>
      </c>
      <c r="M166">
        <f t="shared" si="15"/>
        <v>5.3759891414633619E-6</v>
      </c>
      <c r="N166" s="44">
        <f t="shared" si="18"/>
        <v>5.3759891414633623E-2</v>
      </c>
    </row>
    <row r="167" spans="8:14" x14ac:dyDescent="0.25">
      <c r="H167">
        <f t="shared" si="19"/>
        <v>162</v>
      </c>
      <c r="I167">
        <f t="shared" si="16"/>
        <v>134.4793914041347</v>
      </c>
      <c r="K167">
        <f t="shared" si="17"/>
        <v>0.76963465494102312</v>
      </c>
      <c r="L167">
        <f t="shared" si="14"/>
        <v>134.4793914041347</v>
      </c>
      <c r="M167">
        <f t="shared" si="15"/>
        <v>5.3446851037571057E-6</v>
      </c>
      <c r="N167" s="44">
        <f t="shared" si="18"/>
        <v>5.3446851037571061E-2</v>
      </c>
    </row>
    <row r="168" spans="8:14" x14ac:dyDescent="0.25">
      <c r="H168">
        <f t="shared" si="19"/>
        <v>163</v>
      </c>
      <c r="I168">
        <f t="shared" si="16"/>
        <v>135.22149249317323</v>
      </c>
      <c r="K168">
        <f t="shared" si="17"/>
        <v>0.76541086843295481</v>
      </c>
      <c r="L168">
        <f t="shared" si="14"/>
        <v>135.22149249317323</v>
      </c>
      <c r="M168">
        <f t="shared" si="15"/>
        <v>5.3153532530066311E-6</v>
      </c>
      <c r="N168" s="44">
        <f t="shared" si="18"/>
        <v>5.3153532530066314E-2</v>
      </c>
    </row>
    <row r="169" spans="8:14" x14ac:dyDescent="0.25">
      <c r="H169">
        <f t="shared" si="19"/>
        <v>164</v>
      </c>
      <c r="I169">
        <f t="shared" si="16"/>
        <v>135.9224038056783</v>
      </c>
      <c r="K169">
        <f t="shared" si="17"/>
        <v>0.76146387278412875</v>
      </c>
      <c r="L169">
        <f t="shared" si="14"/>
        <v>135.9224038056783</v>
      </c>
      <c r="M169">
        <f t="shared" si="15"/>
        <v>5.2879435610008942E-6</v>
      </c>
      <c r="N169" s="44">
        <f t="shared" si="18"/>
        <v>5.2879435610008949E-2</v>
      </c>
    </row>
    <row r="170" spans="8:14" x14ac:dyDescent="0.25">
      <c r="H170">
        <f t="shared" si="19"/>
        <v>165</v>
      </c>
      <c r="I170">
        <f t="shared" si="16"/>
        <v>136.58191183727425</v>
      </c>
      <c r="K170">
        <f t="shared" si="17"/>
        <v>0.75778702031431122</v>
      </c>
      <c r="L170">
        <f t="shared" si="14"/>
        <v>136.58191183727425</v>
      </c>
      <c r="M170">
        <f t="shared" si="15"/>
        <v>5.2624098632938278E-6</v>
      </c>
      <c r="N170" s="44">
        <f t="shared" si="18"/>
        <v>5.2624098632938279E-2</v>
      </c>
    </row>
    <row r="171" spans="8:14" x14ac:dyDescent="0.25">
      <c r="H171">
        <f t="shared" si="19"/>
        <v>166</v>
      </c>
      <c r="I171">
        <f t="shared" si="16"/>
        <v>137.19981569542591</v>
      </c>
      <c r="K171">
        <f t="shared" si="17"/>
        <v>0.75437419121438787</v>
      </c>
      <c r="L171">
        <f t="shared" si="14"/>
        <v>137.19981569542591</v>
      </c>
      <c r="M171">
        <f t="shared" si="15"/>
        <v>5.238709661211027E-6</v>
      </c>
      <c r="N171" s="44">
        <f t="shared" si="18"/>
        <v>5.2387096612110273E-2</v>
      </c>
    </row>
    <row r="172" spans="8:14" x14ac:dyDescent="0.25">
      <c r="H172">
        <f t="shared" si="19"/>
        <v>167</v>
      </c>
      <c r="I172">
        <f t="shared" si="16"/>
        <v>137.77592716063225</v>
      </c>
      <c r="K172">
        <f t="shared" si="17"/>
        <v>0.75121976772712895</v>
      </c>
      <c r="L172">
        <f t="shared" si="14"/>
        <v>137.77592716063225</v>
      </c>
      <c r="M172">
        <f t="shared" si="15"/>
        <v>5.2168039425495066E-6</v>
      </c>
      <c r="N172" s="44">
        <f t="shared" si="18"/>
        <v>5.2168039425495069E-2</v>
      </c>
    </row>
    <row r="173" spans="8:14" x14ac:dyDescent="0.25">
      <c r="H173">
        <f t="shared" si="19"/>
        <v>168</v>
      </c>
      <c r="I173">
        <f t="shared" si="16"/>
        <v>138.31007074376012</v>
      </c>
      <c r="K173">
        <f t="shared" si="17"/>
        <v>0.74831861080997542</v>
      </c>
      <c r="L173">
        <f t="shared" si="14"/>
        <v>138.31007074376012</v>
      </c>
      <c r="M173">
        <f t="shared" si="15"/>
        <v>5.1966570195137185E-6</v>
      </c>
      <c r="N173" s="44">
        <f t="shared" si="18"/>
        <v>5.1966570195137188E-2</v>
      </c>
    </row>
    <row r="174" spans="8:14" x14ac:dyDescent="0.25">
      <c r="H174">
        <f t="shared" si="19"/>
        <v>169</v>
      </c>
      <c r="I174">
        <f t="shared" si="16"/>
        <v>138.80208373949969</v>
      </c>
      <c r="K174">
        <f t="shared" si="17"/>
        <v>0.74566603909380946</v>
      </c>
      <c r="L174">
        <f t="shared" si="14"/>
        <v>138.80208373949969</v>
      </c>
      <c r="M174">
        <f t="shared" si="15"/>
        <v>5.1782363825958994E-6</v>
      </c>
      <c r="N174" s="44">
        <f t="shared" si="18"/>
        <v>5.1782363825959001E-2</v>
      </c>
    </row>
    <row r="175" spans="8:14" x14ac:dyDescent="0.25">
      <c r="H175">
        <f t="shared" si="19"/>
        <v>170</v>
      </c>
      <c r="I175">
        <f t="shared" si="16"/>
        <v>139.25181627592622</v>
      </c>
      <c r="K175">
        <f t="shared" si="17"/>
        <v>0.74325780997294633</v>
      </c>
      <c r="L175">
        <f t="shared" si="14"/>
        <v>139.25181627592622</v>
      </c>
      <c r="M175">
        <f t="shared" si="15"/>
        <v>5.161512569256572E-6</v>
      </c>
      <c r="N175" s="44">
        <f t="shared" si="18"/>
        <v>5.1615125692565725E-2</v>
      </c>
    </row>
    <row r="176" spans="8:14" x14ac:dyDescent="0.25">
      <c r="H176">
        <f t="shared" si="19"/>
        <v>171</v>
      </c>
      <c r="I176">
        <f t="shared" si="16"/>
        <v>139.65913136015246</v>
      </c>
      <c r="K176">
        <f t="shared" si="17"/>
        <v>0.74109010268075193</v>
      </c>
      <c r="L176">
        <f t="shared" si="14"/>
        <v>139.65913136015246</v>
      </c>
      <c r="M176">
        <f t="shared" si="15"/>
        <v>5.1464590463941105E-6</v>
      </c>
      <c r="N176" s="44">
        <f t="shared" si="18"/>
        <v>5.1464590463941112E-2</v>
      </c>
    </row>
    <row r="177" spans="8:14" x14ac:dyDescent="0.25">
      <c r="H177">
        <f t="shared" si="19"/>
        <v>172</v>
      </c>
      <c r="I177">
        <f t="shared" si="16"/>
        <v>140.02390492005804</v>
      </c>
      <c r="K177">
        <f t="shared" si="17"/>
        <v>0.73915950322260948</v>
      </c>
      <c r="L177">
        <f t="shared" ref="L177:L185" si="20">MAX(I177,L176-N176)</f>
        <v>140.02390492005804</v>
      </c>
      <c r="M177">
        <f t="shared" ref="M177:M185" si="21">K177*$E$9</f>
        <v>5.1330521057125659E-6</v>
      </c>
      <c r="N177" s="44">
        <f t="shared" si="18"/>
        <v>5.1330521057125662E-2</v>
      </c>
    </row>
    <row r="178" spans="8:14" x14ac:dyDescent="0.25">
      <c r="H178">
        <f t="shared" si="19"/>
        <v>173</v>
      </c>
      <c r="I178">
        <f t="shared" si="16"/>
        <v>140.34602584208292</v>
      </c>
      <c r="K178">
        <f t="shared" si="17"/>
        <v>0.73746299105368329</v>
      </c>
      <c r="L178">
        <f t="shared" si="20"/>
        <v>140.34602584208292</v>
      </c>
      <c r="M178">
        <f t="shared" si="21"/>
        <v>5.1212707712061343E-6</v>
      </c>
      <c r="N178" s="44">
        <f t="shared" si="18"/>
        <v>5.1212707712061351E-2</v>
      </c>
    </row>
    <row r="179" spans="8:14" x14ac:dyDescent="0.25">
      <c r="H179">
        <f t="shared" si="19"/>
        <v>174</v>
      </c>
      <c r="I179">
        <f t="shared" si="16"/>
        <v>140.62539600507384</v>
      </c>
      <c r="K179">
        <f t="shared" si="17"/>
        <v>0.73599792740328118</v>
      </c>
      <c r="L179">
        <f t="shared" si="20"/>
        <v>140.62539600507384</v>
      </c>
      <c r="M179">
        <f t="shared" si="21"/>
        <v>5.1110967180783415E-6</v>
      </c>
      <c r="N179" s="44">
        <f t="shared" si="18"/>
        <v>5.1110967180783416E-2</v>
      </c>
    </row>
    <row r="180" spans="8:14" x14ac:dyDescent="0.25">
      <c r="H180">
        <f t="shared" si="19"/>
        <v>175</v>
      </c>
      <c r="I180">
        <f t="shared" si="16"/>
        <v>140.86193031017282</v>
      </c>
      <c r="K180">
        <f t="shared" si="17"/>
        <v>0.73476204516079524</v>
      </c>
      <c r="L180">
        <f t="shared" si="20"/>
        <v>140.86193031017282</v>
      </c>
      <c r="M180">
        <f t="shared" si="21"/>
        <v>5.1025142025055232E-6</v>
      </c>
      <c r="N180" s="44">
        <f t="shared" si="18"/>
        <v>5.1025142025055238E-2</v>
      </c>
    </row>
    <row r="181" spans="8:14" x14ac:dyDescent="0.25">
      <c r="H181">
        <f t="shared" si="19"/>
        <v>176</v>
      </c>
      <c r="I181">
        <f t="shared" si="16"/>
        <v>141.05555670673914</v>
      </c>
      <c r="K181">
        <f t="shared" si="17"/>
        <v>0.73375344025036293</v>
      </c>
      <c r="L181">
        <f t="shared" si="20"/>
        <v>141.05555670673914</v>
      </c>
      <c r="M181">
        <f t="shared" si="21"/>
        <v>5.0955100017386321E-6</v>
      </c>
      <c r="N181" s="44">
        <f t="shared" si="18"/>
        <v>5.0955100017386325E-2</v>
      </c>
    </row>
    <row r="182" spans="8:14" x14ac:dyDescent="0.25">
      <c r="H182">
        <f t="shared" si="19"/>
        <v>177</v>
      </c>
      <c r="I182">
        <f t="shared" si="16"/>
        <v>141.20621621429675</v>
      </c>
      <c r="K182">
        <f t="shared" si="17"/>
        <v>0.73297056443270736</v>
      </c>
      <c r="L182">
        <f t="shared" si="20"/>
        <v>141.20621621429675</v>
      </c>
      <c r="M182">
        <f t="shared" si="21"/>
        <v>5.0900733641160233E-6</v>
      </c>
      <c r="N182" s="44">
        <f t="shared" si="18"/>
        <v>5.090073364116024E-2</v>
      </c>
    </row>
    <row r="183" spans="8:14" x14ac:dyDescent="0.25">
      <c r="H183">
        <f t="shared" si="19"/>
        <v>178</v>
      </c>
      <c r="I183">
        <f t="shared" si="16"/>
        <v>141.31386294050014</v>
      </c>
      <c r="K183">
        <f t="shared" si="17"/>
        <v>0.73241221948322521</v>
      </c>
      <c r="L183">
        <f t="shared" si="20"/>
        <v>141.31386294050014</v>
      </c>
      <c r="M183">
        <f t="shared" si="21"/>
        <v>5.086195968633509E-6</v>
      </c>
      <c r="N183" s="44">
        <f t="shared" si="18"/>
        <v>5.0861959686335091E-2</v>
      </c>
    </row>
    <row r="184" spans="8:14" x14ac:dyDescent="0.25">
      <c r="H184">
        <f t="shared" si="19"/>
        <v>179</v>
      </c>
      <c r="I184">
        <f t="shared" si="16"/>
        <v>141.37846409511374</v>
      </c>
      <c r="K184">
        <f t="shared" si="17"/>
        <v>0.73207755270540609</v>
      </c>
      <c r="L184">
        <f t="shared" si="20"/>
        <v>141.37846409511374</v>
      </c>
      <c r="M184">
        <f t="shared" si="21"/>
        <v>5.0838718937875426E-6</v>
      </c>
      <c r="N184" s="44">
        <f t="shared" si="18"/>
        <v>5.0838718937875428E-2</v>
      </c>
    </row>
    <row r="185" spans="8:14" x14ac:dyDescent="0.25">
      <c r="H185">
        <f t="shared" si="19"/>
        <v>180</v>
      </c>
      <c r="I185">
        <f t="shared" si="16"/>
        <v>141.4</v>
      </c>
      <c r="K185">
        <f t="shared" si="17"/>
        <v>0.73196605374823198</v>
      </c>
      <c r="L185">
        <f t="shared" si="20"/>
        <v>141.4</v>
      </c>
      <c r="M185">
        <f t="shared" si="21"/>
        <v>5.0830975954738331E-6</v>
      </c>
      <c r="N185" s="44">
        <f t="shared" si="18"/>
        <v>5.0830975954738337E-2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D4:N185"/>
  <sheetViews>
    <sheetView workbookViewId="0">
      <selection activeCell="E8" sqref="E8"/>
    </sheetView>
  </sheetViews>
  <sheetFormatPr defaultRowHeight="15" x14ac:dyDescent="0.25"/>
  <cols>
    <col min="5" max="5" width="12" bestFit="1" customWidth="1"/>
    <col min="8" max="8" width="11.7109375" customWidth="1"/>
    <col min="13" max="13" width="12" bestFit="1" customWidth="1"/>
  </cols>
  <sheetData>
    <row r="4" spans="4:14" x14ac:dyDescent="0.25">
      <c r="H4" t="s">
        <v>296</v>
      </c>
      <c r="I4" t="s">
        <v>297</v>
      </c>
      <c r="K4" t="s">
        <v>298</v>
      </c>
      <c r="L4" t="s">
        <v>300</v>
      </c>
      <c r="M4" t="s">
        <v>301</v>
      </c>
      <c r="N4" t="s">
        <v>302</v>
      </c>
    </row>
    <row r="5" spans="4:14" x14ac:dyDescent="0.25">
      <c r="D5" t="s">
        <v>295</v>
      </c>
      <c r="E5" s="36">
        <f>'Step 2 - Operating Conditions'!F27</f>
        <v>141.4</v>
      </c>
      <c r="H5">
        <v>0</v>
      </c>
      <c r="I5">
        <f>ABS($E$5*COS(RADIANS(H5)))</f>
        <v>141.4</v>
      </c>
      <c r="K5">
        <f>$E$7/L5</f>
        <v>0.11492220650636492</v>
      </c>
      <c r="L5">
        <f>I5</f>
        <v>141.4</v>
      </c>
      <c r="M5">
        <f>K5*$E$9</f>
        <v>7.9807087851642313E-7</v>
      </c>
      <c r="N5" s="44">
        <f>M5/E$11</f>
        <v>7.9807087851642318E-3</v>
      </c>
    </row>
    <row r="6" spans="4:14" x14ac:dyDescent="0.25">
      <c r="D6" t="s">
        <v>152</v>
      </c>
      <c r="E6">
        <f>'Step 2 - Operating Conditions'!E11</f>
        <v>400</v>
      </c>
      <c r="H6">
        <f>H5+1</f>
        <v>1</v>
      </c>
      <c r="I6">
        <f t="shared" ref="I6:I69" si="0">ABS($E$5*COS(RADIANS(H6)))</f>
        <v>141.37846409511374</v>
      </c>
      <c r="K6">
        <f t="shared" ref="K6:K69" si="1">$E$7/L6</f>
        <v>0.11492869315722169</v>
      </c>
      <c r="L6">
        <f>MAX(I6,L5-N5)</f>
        <v>141.39201929121484</v>
      </c>
      <c r="M6">
        <f>K6*$E$9</f>
        <v>7.9811592470292849E-7</v>
      </c>
      <c r="N6" s="44">
        <f t="shared" ref="N6:N69" si="2">M6/E$11</f>
        <v>7.9811592470292857E-3</v>
      </c>
    </row>
    <row r="7" spans="4:14" x14ac:dyDescent="0.25">
      <c r="D7" t="s">
        <v>153</v>
      </c>
      <c r="E7">
        <f>'Step 2A -  Other Conditions'!E12</f>
        <v>16.25</v>
      </c>
      <c r="H7">
        <f t="shared" ref="H7:H70" si="3">H6+1</f>
        <v>2</v>
      </c>
      <c r="I7">
        <f t="shared" si="0"/>
        <v>141.31386294050014</v>
      </c>
      <c r="K7">
        <f t="shared" si="1"/>
        <v>0.1149351809065763</v>
      </c>
      <c r="L7">
        <f t="shared" ref="L7:L28" si="4">MAX(I7,L6-N6)</f>
        <v>141.3840381319678</v>
      </c>
      <c r="M7">
        <f t="shared" ref="M7:M28" si="5">K7*$E$9</f>
        <v>7.9816097851789103E-7</v>
      </c>
      <c r="N7" s="44">
        <f t="shared" si="2"/>
        <v>7.9816097851789104E-3</v>
      </c>
    </row>
    <row r="8" spans="4:14" x14ac:dyDescent="0.25">
      <c r="H8">
        <f t="shared" si="3"/>
        <v>3</v>
      </c>
      <c r="I8">
        <f t="shared" si="0"/>
        <v>141.20621621429675</v>
      </c>
      <c r="K8">
        <f t="shared" si="1"/>
        <v>0.1149416697547388</v>
      </c>
      <c r="L8">
        <f t="shared" si="4"/>
        <v>141.37605652218261</v>
      </c>
      <c r="M8">
        <f t="shared" si="5"/>
        <v>7.982060399634639E-7</v>
      </c>
      <c r="N8" s="44">
        <f t="shared" si="2"/>
        <v>7.9820603996346405E-3</v>
      </c>
    </row>
    <row r="9" spans="4:14" x14ac:dyDescent="0.25">
      <c r="D9" t="s">
        <v>299</v>
      </c>
      <c r="E9">
        <f>1/(E6*360)</f>
        <v>6.9444444444444448E-6</v>
      </c>
      <c r="H9">
        <f t="shared" si="3"/>
        <v>4</v>
      </c>
      <c r="I9">
        <f t="shared" si="0"/>
        <v>141.05555670673914</v>
      </c>
      <c r="K9">
        <f t="shared" si="1"/>
        <v>0.1149481597020194</v>
      </c>
      <c r="L9">
        <f t="shared" si="4"/>
        <v>141.36807446178298</v>
      </c>
      <c r="M9">
        <f t="shared" si="5"/>
        <v>7.9825110904180144E-7</v>
      </c>
      <c r="N9" s="44">
        <f t="shared" si="2"/>
        <v>7.9825110904180145E-3</v>
      </c>
    </row>
    <row r="10" spans="4:14" x14ac:dyDescent="0.25">
      <c r="H10">
        <f t="shared" si="3"/>
        <v>5</v>
      </c>
      <c r="I10">
        <f t="shared" si="0"/>
        <v>140.86193031017282</v>
      </c>
      <c r="K10">
        <f t="shared" si="1"/>
        <v>0.11495465074872842</v>
      </c>
      <c r="L10">
        <f t="shared" si="4"/>
        <v>141.36009195069258</v>
      </c>
      <c r="M10">
        <f t="shared" si="5"/>
        <v>7.9829618575505848E-7</v>
      </c>
      <c r="N10" s="44">
        <f t="shared" si="2"/>
        <v>7.9829618575505863E-3</v>
      </c>
    </row>
    <row r="11" spans="4:14" x14ac:dyDescent="0.25">
      <c r="D11" t="s">
        <v>179</v>
      </c>
      <c r="E11" s="44">
        <f>'Step 2 - Operating Conditions'!H29*0.000001</f>
        <v>9.9999999999999991E-5</v>
      </c>
      <c r="H11">
        <f t="shared" si="3"/>
        <v>6</v>
      </c>
      <c r="I11">
        <f t="shared" si="0"/>
        <v>140.62539600507384</v>
      </c>
      <c r="K11">
        <f t="shared" si="1"/>
        <v>0.11496114289517631</v>
      </c>
      <c r="L11">
        <f t="shared" si="4"/>
        <v>141.35210898883503</v>
      </c>
      <c r="M11">
        <f t="shared" si="5"/>
        <v>7.9834127010539106E-7</v>
      </c>
      <c r="N11" s="44">
        <f t="shared" si="2"/>
        <v>7.9834127010539116E-3</v>
      </c>
    </row>
    <row r="12" spans="4:14" x14ac:dyDescent="0.25">
      <c r="H12">
        <f t="shared" si="3"/>
        <v>7</v>
      </c>
      <c r="I12">
        <f t="shared" si="0"/>
        <v>140.34602584208292</v>
      </c>
      <c r="K12">
        <f t="shared" si="1"/>
        <v>0.11496763614167367</v>
      </c>
      <c r="L12">
        <f t="shared" si="4"/>
        <v>141.34412557613396</v>
      </c>
      <c r="M12">
        <f t="shared" si="5"/>
        <v>7.9838636209495613E-7</v>
      </c>
      <c r="N12" s="44">
        <f t="shared" si="2"/>
        <v>7.9838636209495616E-3</v>
      </c>
    </row>
    <row r="13" spans="4:14" x14ac:dyDescent="0.25">
      <c r="D13" t="s">
        <v>303</v>
      </c>
      <c r="E13">
        <f>MIN(L5:L185)</f>
        <v>140.02390492005804</v>
      </c>
      <c r="H13">
        <f t="shared" si="3"/>
        <v>8</v>
      </c>
      <c r="I13">
        <f t="shared" si="0"/>
        <v>140.02390492005804</v>
      </c>
      <c r="K13">
        <f t="shared" si="1"/>
        <v>0.11497413048853114</v>
      </c>
      <c r="L13">
        <f t="shared" si="4"/>
        <v>141.33614171251301</v>
      </c>
      <c r="M13">
        <f t="shared" si="5"/>
        <v>7.9843146172591077E-7</v>
      </c>
      <c r="N13" s="44">
        <f t="shared" si="2"/>
        <v>7.9843146172591077E-3</v>
      </c>
    </row>
    <row r="14" spans="4:14" x14ac:dyDescent="0.25">
      <c r="H14">
        <f t="shared" si="3"/>
        <v>9</v>
      </c>
      <c r="I14">
        <f t="shared" si="0"/>
        <v>139.65913136015249</v>
      </c>
      <c r="K14">
        <f t="shared" si="1"/>
        <v>0.11498062593605957</v>
      </c>
      <c r="L14">
        <f t="shared" si="4"/>
        <v>141.32815739789575</v>
      </c>
      <c r="M14">
        <f t="shared" si="5"/>
        <v>7.9847656900041365E-7</v>
      </c>
      <c r="N14" s="44">
        <f t="shared" si="2"/>
        <v>7.9847656900041367E-3</v>
      </c>
    </row>
    <row r="15" spans="4:14" x14ac:dyDescent="0.25">
      <c r="H15">
        <f t="shared" si="3"/>
        <v>10</v>
      </c>
      <c r="I15">
        <f t="shared" si="0"/>
        <v>139.25181627592622</v>
      </c>
      <c r="K15">
        <f t="shared" si="1"/>
        <v>0.11498712248456985</v>
      </c>
      <c r="L15">
        <f t="shared" si="4"/>
        <v>141.32017263220575</v>
      </c>
      <c r="M15">
        <f t="shared" si="5"/>
        <v>7.9852168392062407E-7</v>
      </c>
      <c r="N15" s="44">
        <f t="shared" si="2"/>
        <v>7.9852168392062408E-3</v>
      </c>
    </row>
    <row r="16" spans="4:14" x14ac:dyDescent="0.25">
      <c r="H16">
        <f t="shared" si="3"/>
        <v>11</v>
      </c>
      <c r="I16">
        <f t="shared" si="0"/>
        <v>138.80208373949969</v>
      </c>
      <c r="K16">
        <f t="shared" si="1"/>
        <v>0.11499362013437311</v>
      </c>
      <c r="L16">
        <f t="shared" si="4"/>
        <v>141.31218741536654</v>
      </c>
      <c r="M16">
        <f t="shared" si="5"/>
        <v>7.9856680648870227E-7</v>
      </c>
      <c r="N16" s="44">
        <f t="shared" si="2"/>
        <v>7.9856680648870242E-3</v>
      </c>
    </row>
    <row r="17" spans="8:14" x14ac:dyDescent="0.25">
      <c r="H17">
        <f t="shared" si="3"/>
        <v>12</v>
      </c>
      <c r="I17">
        <f t="shared" si="0"/>
        <v>138.31007074376012</v>
      </c>
      <c r="K17">
        <f t="shared" si="1"/>
        <v>0.11500011888578049</v>
      </c>
      <c r="L17">
        <f t="shared" si="4"/>
        <v>141.30420174730165</v>
      </c>
      <c r="M17">
        <f t="shared" si="5"/>
        <v>7.9861193670680904E-7</v>
      </c>
      <c r="N17" s="44">
        <f t="shared" si="2"/>
        <v>7.9861193670680911E-3</v>
      </c>
    </row>
    <row r="18" spans="8:14" x14ac:dyDescent="0.25">
      <c r="H18">
        <f t="shared" si="3"/>
        <v>13</v>
      </c>
      <c r="I18">
        <f t="shared" si="0"/>
        <v>137.77592716063228</v>
      </c>
      <c r="K18">
        <f t="shared" si="1"/>
        <v>0.1150066187391033</v>
      </c>
      <c r="L18">
        <f t="shared" si="4"/>
        <v>141.29621562793457</v>
      </c>
      <c r="M18">
        <f t="shared" si="5"/>
        <v>7.9865707457710632E-7</v>
      </c>
      <c r="N18" s="44">
        <f t="shared" si="2"/>
        <v>7.9865707457710631E-3</v>
      </c>
    </row>
    <row r="19" spans="8:14" x14ac:dyDescent="0.25">
      <c r="H19">
        <f t="shared" si="3"/>
        <v>14</v>
      </c>
      <c r="I19">
        <f t="shared" si="0"/>
        <v>137.19981569542591</v>
      </c>
      <c r="K19">
        <f t="shared" si="1"/>
        <v>0.11501311969465296</v>
      </c>
      <c r="L19">
        <f t="shared" si="4"/>
        <v>141.2882290571888</v>
      </c>
      <c r="M19">
        <f t="shared" si="5"/>
        <v>7.9870222010175669E-7</v>
      </c>
      <c r="N19" s="44">
        <f t="shared" si="2"/>
        <v>7.987022201017567E-3</v>
      </c>
    </row>
    <row r="20" spans="8:14" x14ac:dyDescent="0.25">
      <c r="H20">
        <f t="shared" si="3"/>
        <v>15</v>
      </c>
      <c r="I20">
        <f t="shared" si="0"/>
        <v>136.58191183727428</v>
      </c>
      <c r="K20">
        <f t="shared" si="1"/>
        <v>0.11501962175274104</v>
      </c>
      <c r="L20">
        <f t="shared" si="4"/>
        <v>141.28024203498779</v>
      </c>
      <c r="M20">
        <f t="shared" si="5"/>
        <v>7.9874737328292391E-7</v>
      </c>
      <c r="N20" s="44">
        <f t="shared" si="2"/>
        <v>7.9874737328292401E-3</v>
      </c>
    </row>
    <row r="21" spans="8:14" x14ac:dyDescent="0.25">
      <c r="H21">
        <f t="shared" si="3"/>
        <v>16</v>
      </c>
      <c r="I21">
        <f t="shared" si="0"/>
        <v>135.9224038056783</v>
      </c>
      <c r="K21">
        <f t="shared" si="1"/>
        <v>0.11502612491367921</v>
      </c>
      <c r="L21">
        <f t="shared" si="4"/>
        <v>141.27225456125495</v>
      </c>
      <c r="M21">
        <f t="shared" si="5"/>
        <v>7.9879253412277235E-7</v>
      </c>
      <c r="N21" s="44">
        <f t="shared" si="2"/>
        <v>7.9879253412277248E-3</v>
      </c>
    </row>
    <row r="22" spans="8:14" x14ac:dyDescent="0.25">
      <c r="H22">
        <f t="shared" si="3"/>
        <v>17</v>
      </c>
      <c r="I22">
        <f t="shared" si="0"/>
        <v>135.22149249317323</v>
      </c>
      <c r="K22">
        <f t="shared" si="1"/>
        <v>0.11503262917777927</v>
      </c>
      <c r="L22">
        <f t="shared" si="4"/>
        <v>141.26426663591371</v>
      </c>
      <c r="M22">
        <f t="shared" si="5"/>
        <v>7.9883770262346723E-7</v>
      </c>
      <c r="N22" s="44">
        <f t="shared" si="2"/>
        <v>7.9883770262346738E-3</v>
      </c>
    </row>
    <row r="23" spans="8:14" x14ac:dyDescent="0.25">
      <c r="H23">
        <f t="shared" si="3"/>
        <v>18</v>
      </c>
      <c r="I23">
        <f t="shared" si="0"/>
        <v>134.4793914041347</v>
      </c>
      <c r="K23">
        <f t="shared" si="1"/>
        <v>0.11503913454535315</v>
      </c>
      <c r="L23">
        <f t="shared" si="4"/>
        <v>141.25627825888748</v>
      </c>
      <c r="M23">
        <f t="shared" si="5"/>
        <v>7.9888287878717475E-7</v>
      </c>
      <c r="N23" s="44">
        <f t="shared" si="2"/>
        <v>7.9888287878717486E-3</v>
      </c>
    </row>
    <row r="24" spans="8:14" x14ac:dyDescent="0.25">
      <c r="H24">
        <f t="shared" si="3"/>
        <v>19</v>
      </c>
      <c r="I24">
        <f t="shared" si="0"/>
        <v>133.69632658974342</v>
      </c>
      <c r="K24">
        <f t="shared" si="1"/>
        <v>0.11504564101671287</v>
      </c>
      <c r="L24">
        <f t="shared" si="4"/>
        <v>141.24828943009962</v>
      </c>
      <c r="M24">
        <f t="shared" si="5"/>
        <v>7.989280626160616E-7</v>
      </c>
      <c r="N24" s="44">
        <f t="shared" si="2"/>
        <v>7.9892806261606161E-3</v>
      </c>
    </row>
    <row r="25" spans="8:14" x14ac:dyDescent="0.25">
      <c r="H25">
        <f t="shared" si="3"/>
        <v>20</v>
      </c>
      <c r="I25">
        <f t="shared" si="0"/>
        <v>132.87253657912746</v>
      </c>
      <c r="K25">
        <f t="shared" si="1"/>
        <v>0.11505214859217064</v>
      </c>
      <c r="L25">
        <f t="shared" si="4"/>
        <v>141.24030014947346</v>
      </c>
      <c r="M25">
        <f t="shared" si="5"/>
        <v>7.9897325411229609E-7</v>
      </c>
      <c r="N25" s="44">
        <f t="shared" si="2"/>
        <v>7.9897325411229618E-3</v>
      </c>
    </row>
    <row r="26" spans="8:14" x14ac:dyDescent="0.25">
      <c r="H26">
        <f t="shared" si="3"/>
        <v>21</v>
      </c>
      <c r="I26">
        <f t="shared" si="0"/>
        <v>132.00827230670433</v>
      </c>
      <c r="K26">
        <f t="shared" si="1"/>
        <v>0.11505865727203871</v>
      </c>
      <c r="L26">
        <f t="shared" si="4"/>
        <v>141.23231041693234</v>
      </c>
      <c r="M26">
        <f t="shared" si="5"/>
        <v>7.9901845327804663E-7</v>
      </c>
      <c r="N26" s="44">
        <f t="shared" si="2"/>
        <v>7.9901845327804664E-3</v>
      </c>
    </row>
    <row r="27" spans="8:14" x14ac:dyDescent="0.25">
      <c r="H27">
        <f t="shared" si="3"/>
        <v>22</v>
      </c>
      <c r="I27">
        <f t="shared" si="0"/>
        <v>131.10379703574375</v>
      </c>
      <c r="K27">
        <f t="shared" si="1"/>
        <v>0.11506516705662953</v>
      </c>
      <c r="L27">
        <f t="shared" si="4"/>
        <v>141.22432023239955</v>
      </c>
      <c r="M27">
        <f t="shared" si="5"/>
        <v>7.9906366011548288E-7</v>
      </c>
      <c r="N27" s="44">
        <f t="shared" si="2"/>
        <v>7.9906366011548297E-3</v>
      </c>
    </row>
    <row r="28" spans="8:14" x14ac:dyDescent="0.25">
      <c r="H28">
        <f t="shared" si="3"/>
        <v>23</v>
      </c>
      <c r="I28">
        <f t="shared" si="0"/>
        <v>130.15938627817508</v>
      </c>
      <c r="K28">
        <f t="shared" si="1"/>
        <v>0.11507167794625564</v>
      </c>
      <c r="L28">
        <f t="shared" si="4"/>
        <v>141.21632959579838</v>
      </c>
      <c r="M28">
        <f t="shared" si="5"/>
        <v>7.9910887462677527E-7</v>
      </c>
      <c r="N28" s="44">
        <f t="shared" si="2"/>
        <v>7.9910887462677528E-3</v>
      </c>
    </row>
    <row r="29" spans="8:14" x14ac:dyDescent="0.25">
      <c r="H29">
        <f t="shared" si="3"/>
        <v>24</v>
      </c>
      <c r="I29">
        <f t="shared" si="0"/>
        <v>129.17532771066377</v>
      </c>
      <c r="K29">
        <f t="shared" si="1"/>
        <v>0.11507818994122969</v>
      </c>
      <c r="L29">
        <f>MAX(I29,L28-N28)</f>
        <v>141.2083385070521</v>
      </c>
      <c r="M29">
        <f>K29*$E$9</f>
        <v>7.9915409681409505E-7</v>
      </c>
      <c r="N29" s="44">
        <f t="shared" si="2"/>
        <v>7.9915409681409512E-3</v>
      </c>
    </row>
    <row r="30" spans="8:14" x14ac:dyDescent="0.25">
      <c r="H30">
        <f t="shared" si="3"/>
        <v>25</v>
      </c>
      <c r="I30">
        <f t="shared" si="0"/>
        <v>128.1519210869823</v>
      </c>
      <c r="K30">
        <f t="shared" si="1"/>
        <v>0.11508470304186445</v>
      </c>
      <c r="L30">
        <f t="shared" ref="L30:L93" si="6">MAX(I30,L29-N29)</f>
        <v>141.20034696608397</v>
      </c>
      <c r="M30">
        <f t="shared" ref="M30:M93" si="7">K30*$E$9</f>
        <v>7.9919932667961434E-7</v>
      </c>
      <c r="N30" s="44">
        <f t="shared" si="2"/>
        <v>7.9919932667961435E-3</v>
      </c>
    </row>
    <row r="31" spans="8:14" x14ac:dyDescent="0.25">
      <c r="H31">
        <f t="shared" si="3"/>
        <v>26</v>
      </c>
      <c r="I31">
        <f t="shared" si="0"/>
        <v>127.08947814670222</v>
      </c>
      <c r="K31">
        <f t="shared" si="1"/>
        <v>0.11509121724847286</v>
      </c>
      <c r="L31">
        <f t="shared" si="6"/>
        <v>141.19235497281718</v>
      </c>
      <c r="M31">
        <f t="shared" si="7"/>
        <v>7.9924456422550599E-7</v>
      </c>
      <c r="N31" s="44">
        <f t="shared" si="2"/>
        <v>7.9924456422550607E-3</v>
      </c>
    </row>
    <row r="32" spans="8:14" x14ac:dyDescent="0.25">
      <c r="H32">
        <f t="shared" si="3"/>
        <v>27</v>
      </c>
      <c r="I32">
        <f t="shared" si="0"/>
        <v>125.98832252023523</v>
      </c>
      <c r="K32">
        <f t="shared" si="1"/>
        <v>0.11509773256136796</v>
      </c>
      <c r="L32">
        <f t="shared" si="6"/>
        <v>141.18436252717493</v>
      </c>
      <c r="M32">
        <f t="shared" si="7"/>
        <v>7.9928980945394423E-7</v>
      </c>
      <c r="N32" s="44">
        <f t="shared" si="2"/>
        <v>7.9928980945394423E-3</v>
      </c>
    </row>
    <row r="33" spans="8:14" x14ac:dyDescent="0.25">
      <c r="H33">
        <f t="shared" si="3"/>
        <v>28</v>
      </c>
      <c r="I33">
        <f t="shared" si="0"/>
        <v>124.84878963025228</v>
      </c>
      <c r="K33">
        <f t="shared" si="1"/>
        <v>0.11510424898086288</v>
      </c>
      <c r="L33">
        <f t="shared" si="6"/>
        <v>141.1763696290804</v>
      </c>
      <c r="M33">
        <f t="shared" si="7"/>
        <v>7.9933506236710338E-7</v>
      </c>
      <c r="N33" s="44">
        <f t="shared" si="2"/>
        <v>7.9933506236710347E-3</v>
      </c>
    </row>
    <row r="34" spans="8:14" x14ac:dyDescent="0.25">
      <c r="H34">
        <f t="shared" si="3"/>
        <v>29</v>
      </c>
      <c r="I34">
        <f t="shared" si="0"/>
        <v>123.67122658951057</v>
      </c>
      <c r="K34">
        <f t="shared" si="1"/>
        <v>0.11511076650727096</v>
      </c>
      <c r="L34">
        <f t="shared" si="6"/>
        <v>141.16837627845672</v>
      </c>
      <c r="M34">
        <f t="shared" si="7"/>
        <v>7.9938032296715948E-7</v>
      </c>
      <c r="N34" s="44">
        <f t="shared" si="2"/>
        <v>7.993803229671595E-3</v>
      </c>
    </row>
    <row r="35" spans="8:14" x14ac:dyDescent="0.25">
      <c r="H35">
        <f t="shared" si="3"/>
        <v>30</v>
      </c>
      <c r="I35">
        <f t="shared" si="0"/>
        <v>122.45599209511964</v>
      </c>
      <c r="K35">
        <f t="shared" si="1"/>
        <v>0.11511728514090556</v>
      </c>
      <c r="L35">
        <f t="shared" si="6"/>
        <v>141.16038247522704</v>
      </c>
      <c r="M35">
        <f t="shared" si="7"/>
        <v>7.9942559125628866E-7</v>
      </c>
      <c r="N35" s="44">
        <f t="shared" si="2"/>
        <v>7.9942559125628868E-3</v>
      </c>
    </row>
    <row r="36" spans="8:14" x14ac:dyDescent="0.25">
      <c r="H36">
        <f t="shared" si="3"/>
        <v>31</v>
      </c>
      <c r="I36">
        <f t="shared" si="0"/>
        <v>121.20345631927869</v>
      </c>
      <c r="K36">
        <f t="shared" si="1"/>
        <v>0.11512380488208024</v>
      </c>
      <c r="L36">
        <f t="shared" si="6"/>
        <v>141.15238821931447</v>
      </c>
      <c r="M36">
        <f t="shared" si="7"/>
        <v>7.9947086723666833E-7</v>
      </c>
      <c r="N36" s="44">
        <f t="shared" si="2"/>
        <v>7.9947086723666846E-3</v>
      </c>
    </row>
    <row r="37" spans="8:14" x14ac:dyDescent="0.25">
      <c r="H37">
        <f t="shared" si="3"/>
        <v>32</v>
      </c>
      <c r="I37">
        <f t="shared" si="0"/>
        <v>119.91400079651864</v>
      </c>
      <c r="K37">
        <f t="shared" si="1"/>
        <v>0.11513032573110861</v>
      </c>
      <c r="L37">
        <f t="shared" si="6"/>
        <v>141.14439351064212</v>
      </c>
      <c r="M37">
        <f t="shared" si="7"/>
        <v>7.9951615091047652E-7</v>
      </c>
      <c r="N37" s="44">
        <f t="shared" si="2"/>
        <v>7.9951615091047659E-3</v>
      </c>
    </row>
    <row r="38" spans="8:14" x14ac:dyDescent="0.25">
      <c r="H38">
        <f t="shared" si="3"/>
        <v>33</v>
      </c>
      <c r="I38">
        <f t="shared" si="0"/>
        <v>118.58801830748297</v>
      </c>
      <c r="K38">
        <f t="shared" si="1"/>
        <v>0.11513684768830452</v>
      </c>
      <c r="L38">
        <f t="shared" si="6"/>
        <v>141.136398349133</v>
      </c>
      <c r="M38">
        <f t="shared" si="7"/>
        <v>7.9956144227989255E-7</v>
      </c>
      <c r="N38" s="44">
        <f t="shared" si="2"/>
        <v>7.9956144227989259E-3</v>
      </c>
    </row>
    <row r="39" spans="8:14" x14ac:dyDescent="0.25">
      <c r="H39">
        <f t="shared" si="3"/>
        <v>34</v>
      </c>
      <c r="I39">
        <f t="shared" si="0"/>
        <v>117.22591275928289</v>
      </c>
      <c r="K39">
        <f>$E$7/L39</f>
        <v>0.11514337075398184</v>
      </c>
      <c r="L39">
        <f t="shared" si="6"/>
        <v>141.12840273471019</v>
      </c>
      <c r="M39">
        <f t="shared" si="7"/>
        <v>7.9960674134709614E-7</v>
      </c>
      <c r="N39" s="44">
        <f t="shared" si="2"/>
        <v>7.9960674134709614E-3</v>
      </c>
    </row>
    <row r="40" spans="8:14" x14ac:dyDescent="0.25">
      <c r="H40">
        <f t="shared" si="3"/>
        <v>35</v>
      </c>
      <c r="I40">
        <f t="shared" si="0"/>
        <v>115.82809906246345</v>
      </c>
      <c r="K40">
        <f t="shared" si="1"/>
        <v>0.11514989492845459</v>
      </c>
      <c r="L40">
        <f t="shared" si="6"/>
        <v>141.12040666729672</v>
      </c>
      <c r="M40">
        <f t="shared" si="7"/>
        <v>7.9965204811426809E-7</v>
      </c>
      <c r="N40" s="44">
        <f t="shared" si="2"/>
        <v>7.9965204811426813E-3</v>
      </c>
    </row>
    <row r="41" spans="8:14" x14ac:dyDescent="0.25">
      <c r="H41">
        <f t="shared" si="3"/>
        <v>36</v>
      </c>
      <c r="I41">
        <f t="shared" si="0"/>
        <v>114.39500300461758</v>
      </c>
      <c r="K41">
        <f t="shared" si="1"/>
        <v>0.11515642021203693</v>
      </c>
      <c r="L41">
        <f t="shared" si="6"/>
        <v>141.11241014681559</v>
      </c>
      <c r="M41">
        <f t="shared" si="7"/>
        <v>7.9969736258358983E-7</v>
      </c>
      <c r="N41" s="44">
        <f t="shared" si="2"/>
        <v>7.9969736258358997E-3</v>
      </c>
    </row>
    <row r="42" spans="8:14" x14ac:dyDescent="0.25">
      <c r="H42">
        <f t="shared" si="3"/>
        <v>37</v>
      </c>
      <c r="I42">
        <f t="shared" si="0"/>
        <v>112.92706112068721</v>
      </c>
      <c r="K42">
        <f t="shared" si="1"/>
        <v>0.11516294660504316</v>
      </c>
      <c r="L42">
        <f t="shared" si="6"/>
        <v>141.10441317318976</v>
      </c>
      <c r="M42">
        <f t="shared" si="7"/>
        <v>7.9974268475724415E-7</v>
      </c>
      <c r="N42" s="44">
        <f t="shared" si="2"/>
        <v>7.997426847572443E-3</v>
      </c>
    </row>
    <row r="43" spans="8:14" x14ac:dyDescent="0.25">
      <c r="H43">
        <f t="shared" si="3"/>
        <v>38</v>
      </c>
      <c r="I43">
        <f t="shared" si="0"/>
        <v>111.42472055999048</v>
      </c>
      <c r="K43">
        <f t="shared" si="1"/>
        <v>0.11516947410778766</v>
      </c>
      <c r="L43">
        <f t="shared" si="6"/>
        <v>141.09641574634219</v>
      </c>
      <c r="M43">
        <f t="shared" si="7"/>
        <v>7.9978801463741441E-7</v>
      </c>
      <c r="N43" s="44">
        <f t="shared" si="2"/>
        <v>7.9978801463741443E-3</v>
      </c>
    </row>
    <row r="44" spans="8:14" x14ac:dyDescent="0.25">
      <c r="H44">
        <f t="shared" si="3"/>
        <v>39</v>
      </c>
      <c r="I44">
        <f t="shared" si="0"/>
        <v>109.88843895001568</v>
      </c>
      <c r="K44">
        <f t="shared" si="1"/>
        <v>0.11517600272058498</v>
      </c>
      <c r="L44">
        <f t="shared" si="6"/>
        <v>141.08841786619581</v>
      </c>
      <c r="M44">
        <f t="shared" si="7"/>
        <v>7.9983335222628466E-7</v>
      </c>
      <c r="N44" s="44">
        <f t="shared" si="2"/>
        <v>7.9983335222628474E-3</v>
      </c>
    </row>
    <row r="45" spans="8:14" x14ac:dyDescent="0.25">
      <c r="H45">
        <f t="shared" si="3"/>
        <v>40</v>
      </c>
      <c r="I45">
        <f t="shared" si="0"/>
        <v>108.31868425702349</v>
      </c>
      <c r="K45">
        <f t="shared" si="1"/>
        <v>0.11518253244374978</v>
      </c>
      <c r="L45">
        <f t="shared" si="6"/>
        <v>141.08041953267355</v>
      </c>
      <c r="M45">
        <f t="shared" si="7"/>
        <v>7.9987869752604015E-7</v>
      </c>
      <c r="N45" s="44">
        <f t="shared" si="2"/>
        <v>7.9987869752604027E-3</v>
      </c>
    </row>
    <row r="46" spans="8:14" x14ac:dyDescent="0.25">
      <c r="H46">
        <f t="shared" si="3"/>
        <v>41</v>
      </c>
      <c r="I46">
        <f t="shared" si="0"/>
        <v>106.71593464349996</v>
      </c>
      <c r="K46">
        <f t="shared" si="1"/>
        <v>0.11518906327759681</v>
      </c>
      <c r="L46">
        <f t="shared" si="6"/>
        <v>141.07242074569828</v>
      </c>
      <c r="M46">
        <f t="shared" si="7"/>
        <v>7.9992405053886686E-7</v>
      </c>
      <c r="N46" s="44">
        <f t="shared" si="2"/>
        <v>7.9992405053886696E-3</v>
      </c>
    </row>
    <row r="47" spans="8:14" x14ac:dyDescent="0.25">
      <c r="H47">
        <f t="shared" si="3"/>
        <v>42</v>
      </c>
      <c r="I47">
        <f t="shared" si="0"/>
        <v>105.08067832250354</v>
      </c>
      <c r="K47">
        <f t="shared" si="1"/>
        <v>0.11519559522244099</v>
      </c>
      <c r="L47">
        <f t="shared" si="6"/>
        <v>141.06442150519288</v>
      </c>
      <c r="M47">
        <f t="shared" si="7"/>
        <v>7.999694112669514E-7</v>
      </c>
      <c r="N47" s="44">
        <f t="shared" si="2"/>
        <v>7.9996941126695142E-3</v>
      </c>
    </row>
    <row r="48" spans="8:14" x14ac:dyDescent="0.25">
      <c r="H48">
        <f t="shared" si="3"/>
        <v>43</v>
      </c>
      <c r="I48">
        <f t="shared" si="0"/>
        <v>103.4134134089507</v>
      </c>
      <c r="K48">
        <f t="shared" si="1"/>
        <v>0.11520212827859735</v>
      </c>
      <c r="L48">
        <f t="shared" si="6"/>
        <v>141.05642181108021</v>
      </c>
      <c r="M48">
        <f t="shared" si="7"/>
        <v>8.0001477971248166E-7</v>
      </c>
      <c r="N48" s="44">
        <f t="shared" si="2"/>
        <v>8.0001477971248167E-3</v>
      </c>
    </row>
    <row r="49" spans="8:14" x14ac:dyDescent="0.25">
      <c r="H49">
        <f t="shared" si="3"/>
        <v>44</v>
      </c>
      <c r="I49">
        <f t="shared" si="0"/>
        <v>101.71464776788528</v>
      </c>
      <c r="K49">
        <f t="shared" si="1"/>
        <v>0.11520866244638105</v>
      </c>
      <c r="L49">
        <f t="shared" si="6"/>
        <v>141.04842166328308</v>
      </c>
      <c r="M49">
        <f t="shared" si="7"/>
        <v>8.0006015587764616E-7</v>
      </c>
      <c r="N49" s="44">
        <f t="shared" si="2"/>
        <v>8.0006015587764621E-3</v>
      </c>
    </row>
    <row r="50" spans="8:14" x14ac:dyDescent="0.25">
      <c r="H50">
        <f t="shared" si="3"/>
        <v>45</v>
      </c>
      <c r="I50">
        <f t="shared" si="0"/>
        <v>99.984898859777829</v>
      </c>
      <c r="K50">
        <f t="shared" si="1"/>
        <v>0.11521519772610733</v>
      </c>
      <c r="L50">
        <f t="shared" si="6"/>
        <v>141.04042106172432</v>
      </c>
      <c r="M50">
        <f t="shared" si="7"/>
        <v>8.0010553976463427E-7</v>
      </c>
      <c r="N50" s="44">
        <f t="shared" si="2"/>
        <v>8.0010553976463429E-3</v>
      </c>
    </row>
    <row r="51" spans="8:14" x14ac:dyDescent="0.25">
      <c r="H51">
        <f t="shared" si="3"/>
        <v>46</v>
      </c>
      <c r="I51">
        <f t="shared" si="0"/>
        <v>98.224693582902219</v>
      </c>
      <c r="K51">
        <f t="shared" si="1"/>
        <v>0.11522173411809164</v>
      </c>
      <c r="L51">
        <f t="shared" si="6"/>
        <v>141.03242000632667</v>
      </c>
      <c r="M51">
        <f t="shared" si="7"/>
        <v>8.0015093137563642E-7</v>
      </c>
      <c r="N51" s="44">
        <f t="shared" si="2"/>
        <v>8.001509313756365E-3</v>
      </c>
    </row>
    <row r="52" spans="8:14" x14ac:dyDescent="0.25">
      <c r="H52">
        <f t="shared" si="3"/>
        <v>47</v>
      </c>
      <c r="I52">
        <f t="shared" si="0"/>
        <v>96.434568112837283</v>
      </c>
      <c r="K52">
        <f t="shared" si="1"/>
        <v>0.11522827162264948</v>
      </c>
      <c r="L52">
        <f t="shared" si="6"/>
        <v>141.02441849701293</v>
      </c>
      <c r="M52">
        <f t="shared" si="7"/>
        <v>8.0019633071284367E-7</v>
      </c>
      <c r="N52" s="44">
        <f t="shared" si="2"/>
        <v>8.0019633071284381E-3</v>
      </c>
    </row>
    <row r="53" spans="8:14" x14ac:dyDescent="0.25">
      <c r="H53">
        <f t="shared" si="3"/>
        <v>48</v>
      </c>
      <c r="I53">
        <f t="shared" si="0"/>
        <v>94.61506773914256</v>
      </c>
      <c r="K53">
        <f t="shared" si="1"/>
        <v>0.11523481024009653</v>
      </c>
      <c r="L53">
        <f t="shared" si="6"/>
        <v>141.01641653370581</v>
      </c>
      <c r="M53">
        <f t="shared" si="7"/>
        <v>8.0024173777844813E-7</v>
      </c>
      <c r="N53" s="44">
        <f t="shared" si="2"/>
        <v>8.002417377784482E-3</v>
      </c>
    </row>
    <row r="54" spans="8:14" x14ac:dyDescent="0.25">
      <c r="H54">
        <f t="shared" si="3"/>
        <v>49</v>
      </c>
      <c r="I54">
        <f t="shared" si="0"/>
        <v>92.766746699257737</v>
      </c>
      <c r="K54">
        <f t="shared" si="1"/>
        <v>0.11524134997074856</v>
      </c>
      <c r="L54">
        <f t="shared" si="6"/>
        <v>141.00841411632803</v>
      </c>
      <c r="M54">
        <f t="shared" si="7"/>
        <v>8.0028715257464279E-7</v>
      </c>
      <c r="N54" s="44">
        <f t="shared" si="2"/>
        <v>8.002871525746429E-3</v>
      </c>
    </row>
    <row r="55" spans="8:14" x14ac:dyDescent="0.25">
      <c r="H55">
        <f t="shared" si="3"/>
        <v>50</v>
      </c>
      <c r="I55">
        <f t="shared" si="0"/>
        <v>90.890168009676671</v>
      </c>
      <c r="K55">
        <f t="shared" si="1"/>
        <v>0.11524789081492148</v>
      </c>
      <c r="L55">
        <f t="shared" si="6"/>
        <v>141.00041124480228</v>
      </c>
      <c r="M55">
        <f t="shared" si="7"/>
        <v>8.0033257510362145E-7</v>
      </c>
      <c r="N55" s="44">
        <f t="shared" si="2"/>
        <v>8.0033257510362145E-3</v>
      </c>
    </row>
    <row r="56" spans="8:14" x14ac:dyDescent="0.25">
      <c r="H56">
        <f t="shared" si="3"/>
        <v>51</v>
      </c>
      <c r="I56">
        <f t="shared" si="0"/>
        <v>88.985903294447027</v>
      </c>
      <c r="K56">
        <f t="shared" si="1"/>
        <v>0.11525443277293132</v>
      </c>
      <c r="L56">
        <f t="shared" si="6"/>
        <v>140.99240791905123</v>
      </c>
      <c r="M56">
        <f t="shared" si="7"/>
        <v>8.0037800536757867E-7</v>
      </c>
      <c r="N56" s="44">
        <f t="shared" si="2"/>
        <v>8.003780053675788E-3</v>
      </c>
    </row>
    <row r="57" spans="8:14" x14ac:dyDescent="0.25">
      <c r="H57">
        <f t="shared" si="3"/>
        <v>52</v>
      </c>
      <c r="I57">
        <f t="shared" si="0"/>
        <v>87.054532611048089</v>
      </c>
      <c r="K57">
        <f t="shared" si="1"/>
        <v>0.11526097584509423</v>
      </c>
      <c r="L57">
        <f t="shared" si="6"/>
        <v>140.98440413899755</v>
      </c>
      <c r="M57">
        <f t="shared" si="7"/>
        <v>8.0042344336870996E-7</v>
      </c>
      <c r="N57" s="44">
        <f t="shared" si="2"/>
        <v>8.0042344336871008E-3</v>
      </c>
    </row>
    <row r="58" spans="8:14" x14ac:dyDescent="0.25">
      <c r="H58">
        <f t="shared" si="3"/>
        <v>53</v>
      </c>
      <c r="I58">
        <f t="shared" si="0"/>
        <v>85.096644273699638</v>
      </c>
      <c r="K58">
        <f t="shared" si="1"/>
        <v>0.11526752003172649</v>
      </c>
      <c r="L58">
        <f t="shared" si="6"/>
        <v>140.97639990456386</v>
      </c>
      <c r="M58">
        <f t="shared" si="7"/>
        <v>8.0046888910921178E-7</v>
      </c>
      <c r="N58" s="44">
        <f t="shared" si="2"/>
        <v>8.0046888910921179E-3</v>
      </c>
    </row>
    <row r="59" spans="8:14" x14ac:dyDescent="0.25">
      <c r="H59">
        <f t="shared" si="3"/>
        <v>54</v>
      </c>
      <c r="I59">
        <f t="shared" si="0"/>
        <v>83.112834674155707</v>
      </c>
      <c r="K59">
        <f t="shared" si="1"/>
        <v>0.11527406533314453</v>
      </c>
      <c r="L59">
        <f t="shared" si="6"/>
        <v>140.96839521567276</v>
      </c>
      <c r="M59">
        <f t="shared" si="7"/>
        <v>8.0051434259128155E-7</v>
      </c>
      <c r="N59" s="44">
        <f t="shared" si="2"/>
        <v>8.0051434259128165E-3</v>
      </c>
    </row>
    <row r="60" spans="8:14" x14ac:dyDescent="0.25">
      <c r="H60">
        <f t="shared" si="3"/>
        <v>55</v>
      </c>
      <c r="I60">
        <f t="shared" si="0"/>
        <v>81.103708100037935</v>
      </c>
      <c r="K60">
        <f t="shared" si="1"/>
        <v>0.11528061174966485</v>
      </c>
      <c r="L60">
        <f t="shared" si="6"/>
        <v>140.96039007224684</v>
      </c>
      <c r="M60">
        <f t="shared" si="7"/>
        <v>8.00559803817117E-7</v>
      </c>
      <c r="N60" s="44">
        <f t="shared" si="2"/>
        <v>8.0055980381711703E-3</v>
      </c>
    </row>
    <row r="61" spans="8:14" x14ac:dyDescent="0.25">
      <c r="H61">
        <f t="shared" si="3"/>
        <v>56</v>
      </c>
      <c r="I61">
        <f t="shared" si="0"/>
        <v>79.069876550763595</v>
      </c>
      <c r="K61">
        <f t="shared" si="1"/>
        <v>0.11528715928160414</v>
      </c>
      <c r="L61">
        <f t="shared" si="6"/>
        <v>140.95238447420866</v>
      </c>
      <c r="M61">
        <f t="shared" si="7"/>
        <v>8.0060527278891767E-7</v>
      </c>
      <c r="N61" s="44">
        <f t="shared" si="2"/>
        <v>8.0060527278891774E-3</v>
      </c>
    </row>
    <row r="62" spans="8:14" x14ac:dyDescent="0.25">
      <c r="H62">
        <f t="shared" si="3"/>
        <v>57</v>
      </c>
      <c r="I62">
        <f t="shared" si="0"/>
        <v>77.011959551124832</v>
      </c>
      <c r="K62">
        <f t="shared" si="1"/>
        <v>0.11529370792927916</v>
      </c>
      <c r="L62">
        <f t="shared" si="6"/>
        <v>140.94437842148076</v>
      </c>
      <c r="M62">
        <f t="shared" si="7"/>
        <v>8.0065074950888308E-7</v>
      </c>
      <c r="N62" s="44">
        <f t="shared" si="2"/>
        <v>8.0065074950888323E-3</v>
      </c>
    </row>
    <row r="63" spans="8:14" x14ac:dyDescent="0.25">
      <c r="H63">
        <f t="shared" si="3"/>
        <v>58</v>
      </c>
      <c r="I63">
        <f t="shared" si="0"/>
        <v>74.93058396257517</v>
      </c>
      <c r="K63">
        <f t="shared" si="1"/>
        <v>0.11530025769300684</v>
      </c>
      <c r="L63">
        <f t="shared" si="6"/>
        <v>140.93637191398568</v>
      </c>
      <c r="M63">
        <f t="shared" si="7"/>
        <v>8.0069623397921414E-7</v>
      </c>
      <c r="N63" s="44">
        <f t="shared" si="2"/>
        <v>8.0069623397921418E-3</v>
      </c>
    </row>
    <row r="64" spans="8:14" x14ac:dyDescent="0.25">
      <c r="H64">
        <f t="shared" si="3"/>
        <v>59</v>
      </c>
      <c r="I64">
        <f t="shared" si="0"/>
        <v>72.826383792281661</v>
      </c>
      <c r="K64">
        <f t="shared" si="1"/>
        <v>0.11530680857310421</v>
      </c>
      <c r="L64">
        <f t="shared" si="6"/>
        <v>140.92836495164588</v>
      </c>
      <c r="M64">
        <f t="shared" si="7"/>
        <v>8.0074172620211262E-7</v>
      </c>
      <c r="N64" s="44">
        <f t="shared" si="2"/>
        <v>8.0074172620211263E-3</v>
      </c>
    </row>
    <row r="65" spans="8:14" x14ac:dyDescent="0.25">
      <c r="H65">
        <f t="shared" si="3"/>
        <v>60</v>
      </c>
      <c r="I65">
        <f t="shared" si="0"/>
        <v>70.700000000000017</v>
      </c>
      <c r="K65">
        <f t="shared" si="1"/>
        <v>0.11531336056988843</v>
      </c>
      <c r="L65">
        <f t="shared" si="6"/>
        <v>140.92035753438387</v>
      </c>
      <c r="M65">
        <f t="shared" si="7"/>
        <v>8.0078722617978079E-7</v>
      </c>
      <c r="N65" s="44">
        <f t="shared" si="2"/>
        <v>8.0078722617978083E-3</v>
      </c>
    </row>
    <row r="66" spans="8:14" x14ac:dyDescent="0.25">
      <c r="H66">
        <f t="shared" si="3"/>
        <v>61</v>
      </c>
      <c r="I66">
        <f t="shared" si="0"/>
        <v>68.552080302832067</v>
      </c>
      <c r="K66">
        <f t="shared" si="1"/>
        <v>0.11531991368367679</v>
      </c>
      <c r="L66">
        <f t="shared" si="6"/>
        <v>140.91234966212207</v>
      </c>
      <c r="M66">
        <f t="shared" si="7"/>
        <v>8.0083273391442222E-7</v>
      </c>
      <c r="N66" s="44">
        <f t="shared" si="2"/>
        <v>8.0083273391442222E-3</v>
      </c>
    </row>
    <row r="67" spans="8:14" x14ac:dyDescent="0.25">
      <c r="H67">
        <f t="shared" si="3"/>
        <v>62</v>
      </c>
      <c r="I67">
        <f t="shared" si="0"/>
        <v>66.383278977924974</v>
      </c>
      <c r="K67">
        <f t="shared" si="1"/>
        <v>0.11532646791478673</v>
      </c>
      <c r="L67">
        <f t="shared" si="6"/>
        <v>140.90434133478291</v>
      </c>
      <c r="M67">
        <f t="shared" si="7"/>
        <v>8.008782494082412E-7</v>
      </c>
      <c r="N67" s="44">
        <f t="shared" si="2"/>
        <v>8.0087824940824129E-3</v>
      </c>
    </row>
    <row r="68" spans="8:14" x14ac:dyDescent="0.25">
      <c r="H68">
        <f t="shared" si="3"/>
        <v>63</v>
      </c>
      <c r="I68">
        <f t="shared" si="0"/>
        <v>64.194256663171927</v>
      </c>
      <c r="K68">
        <f t="shared" si="1"/>
        <v>0.11533302326353577</v>
      </c>
      <c r="L68">
        <f t="shared" si="6"/>
        <v>140.89633255228884</v>
      </c>
      <c r="M68">
        <f t="shared" si="7"/>
        <v>8.0092377266344287E-7</v>
      </c>
      <c r="N68" s="44">
        <f t="shared" si="2"/>
        <v>8.0092377266344286E-3</v>
      </c>
    </row>
    <row r="69" spans="8:14" x14ac:dyDescent="0.25">
      <c r="H69">
        <f t="shared" si="3"/>
        <v>64</v>
      </c>
      <c r="I69">
        <f t="shared" si="0"/>
        <v>61.985680155975558</v>
      </c>
      <c r="K69">
        <f t="shared" si="1"/>
        <v>0.11533957973024157</v>
      </c>
      <c r="L69">
        <f t="shared" si="6"/>
        <v>140.8883233145622</v>
      </c>
      <c r="M69">
        <f t="shared" si="7"/>
        <v>8.0096930368223323E-7</v>
      </c>
      <c r="N69" s="44">
        <f t="shared" si="2"/>
        <v>8.0096930368223334E-3</v>
      </c>
    </row>
    <row r="70" spans="8:14" x14ac:dyDescent="0.25">
      <c r="H70">
        <f t="shared" si="3"/>
        <v>65</v>
      </c>
      <c r="I70">
        <f t="shared" ref="I70:I133" si="8">ABS($E$5*COS(RADIANS(H70)))</f>
        <v>59.758222210134903</v>
      </c>
      <c r="K70">
        <f t="shared" ref="K70:K133" si="9">$E$7/L70</f>
        <v>0.11534613731522196</v>
      </c>
      <c r="L70">
        <f t="shared" si="6"/>
        <v>140.88031362152537</v>
      </c>
      <c r="M70">
        <f t="shared" si="7"/>
        <v>8.0101484246681922E-7</v>
      </c>
      <c r="N70" s="44">
        <f t="shared" ref="N70:N133" si="10">M70/E$11</f>
        <v>8.0101484246681929E-3</v>
      </c>
    </row>
    <row r="71" spans="8:14" x14ac:dyDescent="0.25">
      <c r="H71">
        <f t="shared" ref="H71:H134" si="11">H70+1</f>
        <v>66</v>
      </c>
      <c r="I71">
        <f t="shared" si="8"/>
        <v>57.512561330918153</v>
      </c>
      <c r="K71">
        <f t="shared" si="9"/>
        <v>0.11535269601879482</v>
      </c>
      <c r="L71">
        <f t="shared" si="6"/>
        <v>140.87230347310071</v>
      </c>
      <c r="M71">
        <f t="shared" si="7"/>
        <v>8.0106038901940853E-7</v>
      </c>
      <c r="N71" s="44">
        <f t="shared" si="10"/>
        <v>8.0106038901940867E-3</v>
      </c>
    </row>
    <row r="72" spans="8:14" x14ac:dyDescent="0.25">
      <c r="H72">
        <f t="shared" si="11"/>
        <v>67</v>
      </c>
      <c r="I72">
        <f t="shared" si="8"/>
        <v>55.249381568383306</v>
      </c>
      <c r="K72">
        <f t="shared" si="9"/>
        <v>0.11535925584127822</v>
      </c>
      <c r="L72">
        <f t="shared" si="6"/>
        <v>140.86429286921052</v>
      </c>
      <c r="M72">
        <f t="shared" si="7"/>
        <v>8.0110594334220989E-7</v>
      </c>
      <c r="N72" s="44">
        <f t="shared" si="10"/>
        <v>8.0110594334220995E-3</v>
      </c>
    </row>
    <row r="73" spans="8:14" x14ac:dyDescent="0.25">
      <c r="H73">
        <f t="shared" si="11"/>
        <v>68</v>
      </c>
      <c r="I73">
        <f t="shared" si="8"/>
        <v>52.969372309009955</v>
      </c>
      <c r="K73">
        <f t="shared" si="9"/>
        <v>0.11536581678299034</v>
      </c>
      <c r="L73">
        <f t="shared" si="6"/>
        <v>140.8562818097771</v>
      </c>
      <c r="M73">
        <f t="shared" si="7"/>
        <v>8.0115150543743291E-7</v>
      </c>
      <c r="N73" s="44">
        <f t="shared" si="10"/>
        <v>8.01151505437433E-3</v>
      </c>
    </row>
    <row r="74" spans="8:14" x14ac:dyDescent="0.25">
      <c r="H74">
        <f t="shared" si="11"/>
        <v>69</v>
      </c>
      <c r="I74">
        <f t="shared" si="8"/>
        <v>50.673228065705473</v>
      </c>
      <c r="K74">
        <f t="shared" si="9"/>
        <v>0.11537237884424946</v>
      </c>
      <c r="L74">
        <f t="shared" si="6"/>
        <v>140.84827029472274</v>
      </c>
      <c r="M74">
        <f t="shared" si="7"/>
        <v>8.0119707530728791E-7</v>
      </c>
      <c r="N74" s="44">
        <f t="shared" si="10"/>
        <v>8.0119707530728803E-3</v>
      </c>
    </row>
    <row r="75" spans="8:14" x14ac:dyDescent="0.25">
      <c r="H75">
        <f t="shared" si="11"/>
        <v>70</v>
      </c>
      <c r="I75">
        <f t="shared" si="8"/>
        <v>48.361648266249574</v>
      </c>
      <c r="K75">
        <f t="shared" si="9"/>
        <v>0.11537894202537405</v>
      </c>
      <c r="L75">
        <f t="shared" si="6"/>
        <v>140.84025832396966</v>
      </c>
      <c r="M75">
        <f t="shared" si="7"/>
        <v>8.0124265295398651E-7</v>
      </c>
      <c r="N75" s="44">
        <f t="shared" si="10"/>
        <v>8.0124265295398664E-3</v>
      </c>
    </row>
    <row r="76" spans="8:14" x14ac:dyDescent="0.25">
      <c r="H76">
        <f t="shared" si="11"/>
        <v>71</v>
      </c>
      <c r="I76">
        <f t="shared" si="8"/>
        <v>46.03533704024197</v>
      </c>
      <c r="K76">
        <f t="shared" si="9"/>
        <v>0.11538550632668262</v>
      </c>
      <c r="L76">
        <f t="shared" si="6"/>
        <v>140.83224589744012</v>
      </c>
      <c r="M76">
        <f t="shared" si="7"/>
        <v>8.012882383797405E-7</v>
      </c>
      <c r="N76" s="44">
        <f t="shared" si="10"/>
        <v>8.012882383797406E-3</v>
      </c>
    </row>
    <row r="77" spans="8:14" x14ac:dyDescent="0.25">
      <c r="H77">
        <f t="shared" si="11"/>
        <v>72</v>
      </c>
      <c r="I77">
        <f t="shared" si="8"/>
        <v>43.695003004617568</v>
      </c>
      <c r="K77">
        <f t="shared" si="9"/>
        <v>0.11539207174849389</v>
      </c>
      <c r="L77">
        <f t="shared" si="6"/>
        <v>140.82423301505631</v>
      </c>
      <c r="M77">
        <f t="shared" si="7"/>
        <v>8.0133383158676319E-7</v>
      </c>
      <c r="N77" s="44">
        <f t="shared" si="10"/>
        <v>8.0133383158676325E-3</v>
      </c>
    </row>
    <row r="78" spans="8:14" x14ac:dyDescent="0.25">
      <c r="H78">
        <f t="shared" si="11"/>
        <v>73</v>
      </c>
      <c r="I78">
        <f t="shared" si="8"/>
        <v>41.341359047794981</v>
      </c>
      <c r="K78">
        <f t="shared" si="9"/>
        <v>0.11539863829112663</v>
      </c>
      <c r="L78">
        <f t="shared" si="6"/>
        <v>140.81621967674045</v>
      </c>
      <c r="M78">
        <f t="shared" si="7"/>
        <v>8.013794325772683E-7</v>
      </c>
      <c r="N78" s="44">
        <f t="shared" si="10"/>
        <v>8.0137943257726843E-3</v>
      </c>
    </row>
    <row r="79" spans="8:14" x14ac:dyDescent="0.25">
      <c r="H79">
        <f t="shared" si="11"/>
        <v>74</v>
      </c>
      <c r="I79">
        <f t="shared" si="8"/>
        <v>38.975122112523685</v>
      </c>
      <c r="K79">
        <f t="shared" si="9"/>
        <v>0.11540520595489979</v>
      </c>
      <c r="L79">
        <f t="shared" si="6"/>
        <v>140.80820588241468</v>
      </c>
      <c r="M79">
        <f t="shared" si="7"/>
        <v>8.0142504135347083E-7</v>
      </c>
      <c r="N79" s="44">
        <f t="shared" si="10"/>
        <v>8.0142504135347088E-3</v>
      </c>
    </row>
    <row r="80" spans="8:14" x14ac:dyDescent="0.25">
      <c r="H80">
        <f t="shared" si="11"/>
        <v>75</v>
      </c>
      <c r="I80">
        <f t="shared" si="8"/>
        <v>36.597012977496433</v>
      </c>
      <c r="K80">
        <f t="shared" si="9"/>
        <v>0.11541177474013246</v>
      </c>
      <c r="L80">
        <f t="shared" si="6"/>
        <v>140.80019163200114</v>
      </c>
      <c r="M80">
        <f t="shared" si="7"/>
        <v>8.014706579175866E-7</v>
      </c>
      <c r="N80" s="44">
        <f t="shared" si="10"/>
        <v>8.0147065791758669E-3</v>
      </c>
    </row>
    <row r="81" spans="8:14" x14ac:dyDescent="0.25">
      <c r="H81">
        <f t="shared" si="11"/>
        <v>76</v>
      </c>
      <c r="I81">
        <f t="shared" si="8"/>
        <v>34.207756037793011</v>
      </c>
      <c r="K81">
        <f t="shared" si="9"/>
        <v>0.11541834464714382</v>
      </c>
      <c r="L81">
        <f t="shared" si="6"/>
        <v>140.79217692542196</v>
      </c>
      <c r="M81">
        <f t="shared" si="7"/>
        <v>8.015162822718321E-7</v>
      </c>
      <c r="N81" s="44">
        <f t="shared" si="10"/>
        <v>8.0151628227183216E-3</v>
      </c>
    </row>
    <row r="82" spans="8:14" x14ac:dyDescent="0.25">
      <c r="H82">
        <f t="shared" si="11"/>
        <v>77</v>
      </c>
      <c r="I82">
        <f t="shared" si="8"/>
        <v>31.808079084222502</v>
      </c>
      <c r="K82">
        <f t="shared" si="9"/>
        <v>0.11542491567625315</v>
      </c>
      <c r="L82">
        <f t="shared" si="6"/>
        <v>140.78416176259924</v>
      </c>
      <c r="M82">
        <f t="shared" si="7"/>
        <v>8.0156191441842474E-7</v>
      </c>
      <c r="N82" s="44">
        <f t="shared" si="10"/>
        <v>8.0156191441842477E-3</v>
      </c>
    </row>
    <row r="83" spans="8:14" x14ac:dyDescent="0.25">
      <c r="H83">
        <f t="shared" si="11"/>
        <v>78</v>
      </c>
      <c r="I83">
        <f t="shared" si="8"/>
        <v>29.39871308163119</v>
      </c>
      <c r="K83">
        <f t="shared" si="9"/>
        <v>0.11543148782777991</v>
      </c>
      <c r="L83">
        <f t="shared" si="6"/>
        <v>140.77614614345507</v>
      </c>
      <c r="M83">
        <f t="shared" si="7"/>
        <v>8.0160755435958281E-7</v>
      </c>
      <c r="N83" s="44">
        <f t="shared" si="10"/>
        <v>8.0160755435958291E-3</v>
      </c>
    </row>
    <row r="84" spans="8:14" x14ac:dyDescent="0.25">
      <c r="H84">
        <f t="shared" si="11"/>
        <v>79</v>
      </c>
      <c r="I84">
        <f t="shared" si="8"/>
        <v>26.980391946243451</v>
      </c>
      <c r="K84">
        <f t="shared" si="9"/>
        <v>0.1154380611020437</v>
      </c>
      <c r="L84">
        <f t="shared" si="6"/>
        <v>140.76813006791147</v>
      </c>
      <c r="M84">
        <f t="shared" si="7"/>
        <v>8.0165320209752574E-7</v>
      </c>
      <c r="N84" s="44">
        <f t="shared" si="10"/>
        <v>8.0165320209752578E-3</v>
      </c>
    </row>
    <row r="85" spans="8:14" x14ac:dyDescent="0.25">
      <c r="H85">
        <f t="shared" si="11"/>
        <v>80</v>
      </c>
      <c r="I85">
        <f t="shared" si="8"/>
        <v>24.55385232210396</v>
      </c>
      <c r="K85">
        <f t="shared" si="9"/>
        <v>0.11544463549936421</v>
      </c>
      <c r="L85">
        <f t="shared" si="6"/>
        <v>140.7601135358905</v>
      </c>
      <c r="M85">
        <f t="shared" si="7"/>
        <v>8.016988576344737E-7</v>
      </c>
      <c r="N85" s="44">
        <f t="shared" si="10"/>
        <v>8.0169885763447385E-3</v>
      </c>
    </row>
    <row r="86" spans="8:14" x14ac:dyDescent="0.25">
      <c r="H86">
        <f t="shared" si="11"/>
        <v>81</v>
      </c>
      <c r="I86">
        <f t="shared" si="8"/>
        <v>22.119833356688655</v>
      </c>
      <c r="K86">
        <f t="shared" si="9"/>
        <v>0.11545121102006124</v>
      </c>
      <c r="L86">
        <f t="shared" si="6"/>
        <v>140.75209654731415</v>
      </c>
      <c r="M86">
        <f t="shared" si="7"/>
        <v>8.0174452097264753E-7</v>
      </c>
      <c r="N86" s="44">
        <f t="shared" si="10"/>
        <v>8.0174452097264755E-3</v>
      </c>
    </row>
    <row r="87" spans="8:14" x14ac:dyDescent="0.25">
      <c r="H87">
        <f t="shared" si="11"/>
        <v>82</v>
      </c>
      <c r="I87">
        <f t="shared" si="8"/>
        <v>19.679076475753259</v>
      </c>
      <c r="K87">
        <f t="shared" si="9"/>
        <v>0.11545778766445478</v>
      </c>
      <c r="L87">
        <f t="shared" si="6"/>
        <v>140.74407910210442</v>
      </c>
      <c r="M87">
        <f t="shared" si="7"/>
        <v>8.0179019211426929E-7</v>
      </c>
      <c r="N87" s="44">
        <f t="shared" si="10"/>
        <v>8.0179019211426943E-3</v>
      </c>
    </row>
    <row r="88" spans="8:14" x14ac:dyDescent="0.25">
      <c r="H88">
        <f t="shared" si="11"/>
        <v>83</v>
      </c>
      <c r="I88">
        <f t="shared" si="8"/>
        <v>17.232325157487857</v>
      </c>
      <c r="K88">
        <f t="shared" si="9"/>
        <v>0.11546436543286488</v>
      </c>
      <c r="L88">
        <f t="shared" si="6"/>
        <v>140.73606120018329</v>
      </c>
      <c r="M88">
        <f t="shared" si="7"/>
        <v>8.0183587106156171E-7</v>
      </c>
      <c r="N88" s="44">
        <f t="shared" si="10"/>
        <v>8.0183587106156182E-3</v>
      </c>
    </row>
    <row r="89" spans="8:14" x14ac:dyDescent="0.25">
      <c r="H89">
        <f t="shared" si="11"/>
        <v>84</v>
      </c>
      <c r="I89">
        <f t="shared" si="8"/>
        <v>14.7803247060462</v>
      </c>
      <c r="K89">
        <f t="shared" si="9"/>
        <v>0.11547094432561178</v>
      </c>
      <c r="L89">
        <f t="shared" si="6"/>
        <v>140.72804284147267</v>
      </c>
      <c r="M89">
        <f t="shared" si="7"/>
        <v>8.0188155781674846E-7</v>
      </c>
      <c r="N89" s="44">
        <f t="shared" si="10"/>
        <v>8.0188155781674847E-3</v>
      </c>
    </row>
    <row r="90" spans="8:14" x14ac:dyDescent="0.25">
      <c r="H90">
        <f t="shared" si="11"/>
        <v>85</v>
      </c>
      <c r="I90">
        <f t="shared" si="8"/>
        <v>12.323822024518861</v>
      </c>
      <c r="K90">
        <f t="shared" si="9"/>
        <v>0.11547752434301579</v>
      </c>
      <c r="L90">
        <f t="shared" si="6"/>
        <v>140.7200240258945</v>
      </c>
      <c r="M90">
        <f t="shared" si="7"/>
        <v>8.0192725238205418E-7</v>
      </c>
      <c r="N90" s="44">
        <f t="shared" si="10"/>
        <v>8.0192725238205417E-3</v>
      </c>
    </row>
    <row r="91" spans="8:14" x14ac:dyDescent="0.25">
      <c r="H91">
        <f t="shared" si="11"/>
        <v>86</v>
      </c>
      <c r="I91">
        <f t="shared" si="8"/>
        <v>9.8635653874193085</v>
      </c>
      <c r="K91">
        <f t="shared" si="9"/>
        <v>0.11548410548539741</v>
      </c>
      <c r="L91">
        <f t="shared" si="6"/>
        <v>140.71200475337068</v>
      </c>
      <c r="M91">
        <f t="shared" si="7"/>
        <v>8.0197295475970422E-7</v>
      </c>
      <c r="N91" s="44">
        <f t="shared" si="10"/>
        <v>8.0197295475970421E-3</v>
      </c>
    </row>
    <row r="92" spans="8:14" x14ac:dyDescent="0.25">
      <c r="H92">
        <f t="shared" si="11"/>
        <v>87</v>
      </c>
      <c r="I92">
        <f t="shared" si="8"/>
        <v>7.4003042127522773</v>
      </c>
      <c r="K92">
        <f t="shared" si="9"/>
        <v>0.11549068775307718</v>
      </c>
      <c r="L92">
        <f t="shared" si="6"/>
        <v>140.70398502382309</v>
      </c>
      <c r="M92">
        <f t="shared" si="7"/>
        <v>8.020186649519249E-7</v>
      </c>
      <c r="N92" s="44">
        <f t="shared" si="10"/>
        <v>8.0201866495192495E-3</v>
      </c>
    </row>
    <row r="93" spans="8:14" x14ac:dyDescent="0.25">
      <c r="H93">
        <f t="shared" si="11"/>
        <v>88</v>
      </c>
      <c r="I93">
        <f t="shared" si="8"/>
        <v>4.934788833733653</v>
      </c>
      <c r="K93">
        <f t="shared" si="9"/>
        <v>0.11549727114637587</v>
      </c>
      <c r="L93">
        <f t="shared" si="6"/>
        <v>140.69596483717356</v>
      </c>
      <c r="M93">
        <f t="shared" si="7"/>
        <v>8.0206438296094362E-7</v>
      </c>
      <c r="N93" s="44">
        <f t="shared" si="10"/>
        <v>8.0206438296094376E-3</v>
      </c>
    </row>
    <row r="94" spans="8:14" x14ac:dyDescent="0.25">
      <c r="H94">
        <f t="shared" si="11"/>
        <v>89</v>
      </c>
      <c r="I94">
        <f t="shared" si="8"/>
        <v>2.4677702702319011</v>
      </c>
      <c r="K94">
        <f t="shared" si="9"/>
        <v>0.1155038556656143</v>
      </c>
      <c r="L94">
        <f t="shared" ref="L94:L157" si="12">MAX(I94,L93-N93)</f>
        <v>140.68794419334395</v>
      </c>
      <c r="M94">
        <f t="shared" ref="M94:M157" si="13">K94*$E$9</f>
        <v>8.0211010878898826E-7</v>
      </c>
      <c r="N94" s="44">
        <f t="shared" si="10"/>
        <v>8.0211010878898838E-3</v>
      </c>
    </row>
    <row r="95" spans="8:14" x14ac:dyDescent="0.25">
      <c r="H95">
        <f t="shared" si="11"/>
        <v>90</v>
      </c>
      <c r="I95">
        <f t="shared" si="8"/>
        <v>8.6617995762039435E-15</v>
      </c>
      <c r="K95">
        <f t="shared" si="9"/>
        <v>0.11551044131111346</v>
      </c>
      <c r="L95">
        <f t="shared" si="12"/>
        <v>140.67992309225608</v>
      </c>
      <c r="M95">
        <f t="shared" si="13"/>
        <v>8.0215584243828792E-7</v>
      </c>
      <c r="N95" s="44">
        <f t="shared" si="10"/>
        <v>8.0215584243828793E-3</v>
      </c>
    </row>
    <row r="96" spans="8:14" x14ac:dyDescent="0.25">
      <c r="H96">
        <f t="shared" si="11"/>
        <v>91</v>
      </c>
      <c r="I96">
        <f t="shared" si="8"/>
        <v>2.4677702702318838</v>
      </c>
      <c r="K96">
        <f t="shared" si="9"/>
        <v>0.11551702808319446</v>
      </c>
      <c r="L96">
        <f t="shared" si="12"/>
        <v>140.67190153383169</v>
      </c>
      <c r="M96">
        <f t="shared" si="13"/>
        <v>8.0220158391107271E-7</v>
      </c>
      <c r="N96" s="44">
        <f t="shared" si="10"/>
        <v>8.0220158391107275E-3</v>
      </c>
    </row>
    <row r="97" spans="8:14" x14ac:dyDescent="0.25">
      <c r="H97">
        <f t="shared" si="11"/>
        <v>92</v>
      </c>
      <c r="I97">
        <f t="shared" si="8"/>
        <v>4.9347888337336352</v>
      </c>
      <c r="K97">
        <f t="shared" si="9"/>
        <v>0.11552361598217852</v>
      </c>
      <c r="L97">
        <f t="shared" si="12"/>
        <v>140.66387951799257</v>
      </c>
      <c r="M97">
        <f t="shared" si="13"/>
        <v>8.0224733320957309E-7</v>
      </c>
      <c r="N97" s="44">
        <f t="shared" si="10"/>
        <v>8.0224733320957316E-3</v>
      </c>
    </row>
    <row r="98" spans="8:14" x14ac:dyDescent="0.25">
      <c r="H98">
        <f t="shared" si="11"/>
        <v>93</v>
      </c>
      <c r="I98">
        <f t="shared" si="8"/>
        <v>7.4003042127522596</v>
      </c>
      <c r="K98">
        <f t="shared" si="9"/>
        <v>0.115530205008387</v>
      </c>
      <c r="L98">
        <f t="shared" si="12"/>
        <v>140.65585704466048</v>
      </c>
      <c r="M98">
        <f t="shared" si="13"/>
        <v>8.0229309033602089E-7</v>
      </c>
      <c r="N98" s="44">
        <f t="shared" si="10"/>
        <v>8.0229309033602089E-3</v>
      </c>
    </row>
    <row r="99" spans="8:14" x14ac:dyDescent="0.25">
      <c r="H99">
        <f t="shared" si="11"/>
        <v>94</v>
      </c>
      <c r="I99">
        <f t="shared" si="8"/>
        <v>9.8635653874193228</v>
      </c>
      <c r="K99">
        <f t="shared" si="9"/>
        <v>0.11553679516214141</v>
      </c>
      <c r="L99">
        <f t="shared" si="12"/>
        <v>140.64783411375711</v>
      </c>
      <c r="M99">
        <f t="shared" si="13"/>
        <v>8.0233885529264866E-7</v>
      </c>
      <c r="N99" s="44">
        <f t="shared" si="10"/>
        <v>8.0233885529264869E-3</v>
      </c>
    </row>
    <row r="100" spans="8:14" x14ac:dyDescent="0.25">
      <c r="H100">
        <f t="shared" si="11"/>
        <v>95</v>
      </c>
      <c r="I100">
        <f t="shared" si="8"/>
        <v>12.323822024518876</v>
      </c>
      <c r="K100">
        <f t="shared" si="9"/>
        <v>0.11554338644376333</v>
      </c>
      <c r="L100">
        <f t="shared" si="12"/>
        <v>140.6398107252042</v>
      </c>
      <c r="M100">
        <f t="shared" si="13"/>
        <v>8.0238462808168984E-7</v>
      </c>
      <c r="N100" s="44">
        <f t="shared" si="10"/>
        <v>8.0238462808168987E-3</v>
      </c>
    </row>
    <row r="101" spans="8:14" x14ac:dyDescent="0.25">
      <c r="H101">
        <f t="shared" si="11"/>
        <v>96</v>
      </c>
      <c r="I101">
        <f t="shared" si="8"/>
        <v>14.780324706046214</v>
      </c>
      <c r="K101">
        <f t="shared" si="9"/>
        <v>0.11554997885357456</v>
      </c>
      <c r="L101">
        <f t="shared" si="12"/>
        <v>140.63178687892338</v>
      </c>
      <c r="M101">
        <f t="shared" si="13"/>
        <v>8.0243040870537888E-7</v>
      </c>
      <c r="N101" s="44">
        <f t="shared" si="10"/>
        <v>8.024304087053789E-3</v>
      </c>
    </row>
    <row r="102" spans="8:14" x14ac:dyDescent="0.25">
      <c r="H102">
        <f t="shared" si="11"/>
        <v>97</v>
      </c>
      <c r="I102">
        <f t="shared" si="8"/>
        <v>17.232325157487839</v>
      </c>
      <c r="K102">
        <f t="shared" si="9"/>
        <v>0.11555657239189693</v>
      </c>
      <c r="L102">
        <f t="shared" si="12"/>
        <v>140.62376257483632</v>
      </c>
      <c r="M102">
        <f t="shared" si="13"/>
        <v>8.024761971659509E-7</v>
      </c>
      <c r="N102" s="44">
        <f t="shared" si="10"/>
        <v>8.0247619716595098E-3</v>
      </c>
    </row>
    <row r="103" spans="8:14" x14ac:dyDescent="0.25">
      <c r="H103">
        <f t="shared" si="11"/>
        <v>98</v>
      </c>
      <c r="I103">
        <f t="shared" si="8"/>
        <v>19.679076475753241</v>
      </c>
      <c r="K103">
        <f t="shared" si="9"/>
        <v>0.11556316705905247</v>
      </c>
      <c r="L103">
        <f t="shared" si="12"/>
        <v>140.61573781286467</v>
      </c>
      <c r="M103">
        <f t="shared" si="13"/>
        <v>8.0252199346564217E-7</v>
      </c>
      <c r="N103" s="44">
        <f t="shared" si="10"/>
        <v>8.0252199346564218E-3</v>
      </c>
    </row>
    <row r="104" spans="8:14" x14ac:dyDescent="0.25">
      <c r="H104">
        <f t="shared" si="11"/>
        <v>99</v>
      </c>
      <c r="I104">
        <f t="shared" si="8"/>
        <v>22.119833356688638</v>
      </c>
      <c r="K104">
        <f t="shared" si="9"/>
        <v>0.1155697628553633</v>
      </c>
      <c r="L104">
        <f t="shared" si="12"/>
        <v>140.60771259293</v>
      </c>
      <c r="M104">
        <f t="shared" si="13"/>
        <v>8.0256779760668959E-7</v>
      </c>
      <c r="N104" s="44">
        <f t="shared" si="10"/>
        <v>8.0256779760668959E-3</v>
      </c>
    </row>
    <row r="105" spans="8:14" x14ac:dyDescent="0.25">
      <c r="H105">
        <f t="shared" si="11"/>
        <v>100</v>
      </c>
      <c r="I105">
        <f t="shared" si="8"/>
        <v>24.553852322103946</v>
      </c>
      <c r="K105">
        <f t="shared" si="9"/>
        <v>0.11557635978115167</v>
      </c>
      <c r="L105">
        <f t="shared" si="12"/>
        <v>140.59968691495394</v>
      </c>
      <c r="M105">
        <f t="shared" si="13"/>
        <v>8.0261360959133114E-7</v>
      </c>
      <c r="N105" s="44">
        <f t="shared" si="10"/>
        <v>8.0261360959133117E-3</v>
      </c>
    </row>
    <row r="106" spans="8:14" x14ac:dyDescent="0.25">
      <c r="H106">
        <f t="shared" si="11"/>
        <v>101</v>
      </c>
      <c r="I106">
        <f t="shared" si="8"/>
        <v>26.980391946243437</v>
      </c>
      <c r="K106">
        <f t="shared" si="9"/>
        <v>0.11558295783674</v>
      </c>
      <c r="L106">
        <f t="shared" si="12"/>
        <v>140.59166077885803</v>
      </c>
      <c r="M106">
        <f t="shared" si="13"/>
        <v>8.0265942942180553E-7</v>
      </c>
      <c r="N106" s="44">
        <f t="shared" si="10"/>
        <v>8.0265942942180559E-3</v>
      </c>
    </row>
    <row r="107" spans="8:14" x14ac:dyDescent="0.25">
      <c r="H107">
        <f t="shared" si="11"/>
        <v>102</v>
      </c>
      <c r="I107">
        <f t="shared" si="8"/>
        <v>29.398713081631172</v>
      </c>
      <c r="K107">
        <f t="shared" si="9"/>
        <v>0.11558955702245079</v>
      </c>
      <c r="L107">
        <f t="shared" si="12"/>
        <v>140.58363418456381</v>
      </c>
      <c r="M107">
        <f t="shared" si="13"/>
        <v>8.0270525710035272E-7</v>
      </c>
      <c r="N107" s="44">
        <f t="shared" si="10"/>
        <v>8.0270525710035272E-3</v>
      </c>
    </row>
    <row r="108" spans="8:14" x14ac:dyDescent="0.25">
      <c r="H108">
        <f t="shared" si="11"/>
        <v>103</v>
      </c>
      <c r="I108">
        <f t="shared" si="8"/>
        <v>31.808079084222516</v>
      </c>
      <c r="K108">
        <f t="shared" si="9"/>
        <v>0.11559615733860669</v>
      </c>
      <c r="L108">
        <f t="shared" si="12"/>
        <v>140.5756071319928</v>
      </c>
      <c r="M108">
        <f t="shared" si="13"/>
        <v>8.0275109262921313E-7</v>
      </c>
      <c r="N108" s="44">
        <f t="shared" si="10"/>
        <v>8.0275109262921314E-3</v>
      </c>
    </row>
    <row r="109" spans="8:14" x14ac:dyDescent="0.25">
      <c r="H109">
        <f t="shared" si="11"/>
        <v>104</v>
      </c>
      <c r="I109">
        <f t="shared" si="8"/>
        <v>34.207756037793025</v>
      </c>
      <c r="K109">
        <f t="shared" si="9"/>
        <v>0.11560275878553047</v>
      </c>
      <c r="L109">
        <f t="shared" si="12"/>
        <v>140.5675796210665</v>
      </c>
      <c r="M109">
        <f t="shared" si="13"/>
        <v>8.0279693601062832E-7</v>
      </c>
      <c r="N109" s="44">
        <f t="shared" si="10"/>
        <v>8.0279693601062845E-3</v>
      </c>
    </row>
    <row r="110" spans="8:14" x14ac:dyDescent="0.25">
      <c r="H110">
        <f t="shared" si="11"/>
        <v>105</v>
      </c>
      <c r="I110">
        <f t="shared" si="8"/>
        <v>36.597012977496448</v>
      </c>
      <c r="K110">
        <f t="shared" si="9"/>
        <v>0.11560936136354506</v>
      </c>
      <c r="L110">
        <f t="shared" si="12"/>
        <v>140.55955165170639</v>
      </c>
      <c r="M110">
        <f t="shared" si="13"/>
        <v>8.0284278724684071E-7</v>
      </c>
      <c r="N110" s="44">
        <f t="shared" si="10"/>
        <v>8.0284278724684077E-3</v>
      </c>
    </row>
    <row r="111" spans="8:14" x14ac:dyDescent="0.25">
      <c r="H111">
        <f t="shared" si="11"/>
        <v>106</v>
      </c>
      <c r="I111">
        <f t="shared" si="8"/>
        <v>38.975122112523671</v>
      </c>
      <c r="K111">
        <f t="shared" si="9"/>
        <v>0.11561596507297345</v>
      </c>
      <c r="L111">
        <f t="shared" si="12"/>
        <v>140.55152322383393</v>
      </c>
      <c r="M111">
        <f t="shared" si="13"/>
        <v>8.0288864634009344E-7</v>
      </c>
      <c r="N111" s="44">
        <f t="shared" si="10"/>
        <v>8.0288864634009346E-3</v>
      </c>
    </row>
    <row r="112" spans="8:14" x14ac:dyDescent="0.25">
      <c r="H112">
        <f t="shared" si="11"/>
        <v>107</v>
      </c>
      <c r="I112">
        <f t="shared" si="8"/>
        <v>41.341359047794967</v>
      </c>
      <c r="K112">
        <f t="shared" si="9"/>
        <v>0.11562256991413884</v>
      </c>
      <c r="L112">
        <f t="shared" si="12"/>
        <v>140.54349433737053</v>
      </c>
      <c r="M112">
        <f t="shared" si="13"/>
        <v>8.0293451329263084E-7</v>
      </c>
      <c r="N112" s="44">
        <f t="shared" si="10"/>
        <v>8.0293451329263091E-3</v>
      </c>
    </row>
    <row r="113" spans="8:14" x14ac:dyDescent="0.25">
      <c r="H113">
        <f t="shared" si="11"/>
        <v>108</v>
      </c>
      <c r="I113">
        <f t="shared" si="8"/>
        <v>43.695003004617554</v>
      </c>
      <c r="K113">
        <f t="shared" si="9"/>
        <v>0.11562917588736452</v>
      </c>
      <c r="L113">
        <f t="shared" si="12"/>
        <v>140.53546499223759</v>
      </c>
      <c r="M113">
        <f t="shared" si="13"/>
        <v>8.0298038810669808E-7</v>
      </c>
      <c r="N113" s="44">
        <f t="shared" si="10"/>
        <v>8.0298038810669818E-3</v>
      </c>
    </row>
    <row r="114" spans="8:14" x14ac:dyDescent="0.25">
      <c r="H114">
        <f t="shared" si="11"/>
        <v>109</v>
      </c>
      <c r="I114">
        <f t="shared" si="8"/>
        <v>46.035337040241949</v>
      </c>
      <c r="K114">
        <f t="shared" si="9"/>
        <v>0.1156357829929739</v>
      </c>
      <c r="L114">
        <f t="shared" si="12"/>
        <v>140.52743518835652</v>
      </c>
      <c r="M114">
        <f t="shared" si="13"/>
        <v>8.0302627078454106E-7</v>
      </c>
      <c r="N114" s="44">
        <f t="shared" si="10"/>
        <v>8.0302627078454106E-3</v>
      </c>
    </row>
    <row r="115" spans="8:14" x14ac:dyDescent="0.25">
      <c r="H115">
        <f t="shared" si="11"/>
        <v>110</v>
      </c>
      <c r="I115">
        <f t="shared" si="8"/>
        <v>48.36164826624956</v>
      </c>
      <c r="K115">
        <f t="shared" si="9"/>
        <v>0.11564239123129055</v>
      </c>
      <c r="L115">
        <f t="shared" si="12"/>
        <v>140.51940492564867</v>
      </c>
      <c r="M115">
        <f t="shared" si="13"/>
        <v>8.0307216132840665E-7</v>
      </c>
      <c r="N115" s="44">
        <f t="shared" si="10"/>
        <v>8.030721613284067E-3</v>
      </c>
    </row>
    <row r="116" spans="8:14" x14ac:dyDescent="0.25">
      <c r="H116">
        <f t="shared" si="11"/>
        <v>111</v>
      </c>
      <c r="I116">
        <f t="shared" si="8"/>
        <v>50.673228065705459</v>
      </c>
      <c r="K116">
        <f t="shared" si="9"/>
        <v>0.11564900060263814</v>
      </c>
      <c r="L116">
        <f t="shared" si="12"/>
        <v>140.51137420403538</v>
      </c>
      <c r="M116">
        <f t="shared" si="13"/>
        <v>8.0311805974054265E-7</v>
      </c>
      <c r="N116" s="44">
        <f t="shared" si="10"/>
        <v>8.0311805974054278E-3</v>
      </c>
    </row>
    <row r="117" spans="8:14" x14ac:dyDescent="0.25">
      <c r="H117">
        <f t="shared" si="11"/>
        <v>112</v>
      </c>
      <c r="I117">
        <f t="shared" si="8"/>
        <v>52.96937230900997</v>
      </c>
      <c r="K117">
        <f t="shared" si="9"/>
        <v>0.11565561110734048</v>
      </c>
      <c r="L117">
        <f t="shared" si="12"/>
        <v>140.50334302343796</v>
      </c>
      <c r="M117">
        <f t="shared" si="13"/>
        <v>8.0316396602319773E-7</v>
      </c>
      <c r="N117" s="44">
        <f t="shared" si="10"/>
        <v>8.0316396602319786E-3</v>
      </c>
    </row>
    <row r="118" spans="8:14" x14ac:dyDescent="0.25">
      <c r="H118">
        <f t="shared" si="11"/>
        <v>113</v>
      </c>
      <c r="I118">
        <f t="shared" si="8"/>
        <v>55.249381568383313</v>
      </c>
      <c r="K118">
        <f t="shared" si="9"/>
        <v>0.11566222274572149</v>
      </c>
      <c r="L118">
        <f t="shared" si="12"/>
        <v>140.49531138377773</v>
      </c>
      <c r="M118">
        <f t="shared" si="13"/>
        <v>8.0320988017862151E-7</v>
      </c>
      <c r="N118" s="44">
        <f t="shared" si="10"/>
        <v>8.0320988017862152E-3</v>
      </c>
    </row>
    <row r="119" spans="8:14" x14ac:dyDescent="0.25">
      <c r="H119">
        <f t="shared" si="11"/>
        <v>114</v>
      </c>
      <c r="I119">
        <f t="shared" si="8"/>
        <v>57.51256133091816</v>
      </c>
      <c r="K119">
        <f t="shared" si="9"/>
        <v>0.11566883551810526</v>
      </c>
      <c r="L119">
        <f t="shared" si="12"/>
        <v>140.48727928497595</v>
      </c>
      <c r="M119">
        <f t="shared" si="13"/>
        <v>8.0325580220906433E-7</v>
      </c>
      <c r="N119" s="44">
        <f t="shared" si="10"/>
        <v>8.032558022090644E-3</v>
      </c>
    </row>
    <row r="120" spans="8:14" x14ac:dyDescent="0.25">
      <c r="H120">
        <f t="shared" si="11"/>
        <v>115</v>
      </c>
      <c r="I120">
        <f t="shared" si="8"/>
        <v>59.758222210134889</v>
      </c>
      <c r="K120">
        <f t="shared" si="9"/>
        <v>0.11567544942481599</v>
      </c>
      <c r="L120">
        <f t="shared" si="12"/>
        <v>140.47924672695387</v>
      </c>
      <c r="M120">
        <f t="shared" si="13"/>
        <v>8.0330173211677772E-7</v>
      </c>
      <c r="N120" s="44">
        <f t="shared" si="10"/>
        <v>8.0330173211677781E-3</v>
      </c>
    </row>
    <row r="121" spans="8:14" x14ac:dyDescent="0.25">
      <c r="H121">
        <f t="shared" si="11"/>
        <v>116</v>
      </c>
      <c r="I121">
        <f t="shared" si="8"/>
        <v>61.985680155975565</v>
      </c>
      <c r="K121">
        <f t="shared" si="9"/>
        <v>0.11568206446617801</v>
      </c>
      <c r="L121">
        <f t="shared" si="12"/>
        <v>140.47121370963271</v>
      </c>
      <c r="M121">
        <f t="shared" si="13"/>
        <v>8.0334766990401404E-7</v>
      </c>
      <c r="N121" s="44">
        <f t="shared" si="10"/>
        <v>8.0334766990401412E-3</v>
      </c>
    </row>
    <row r="122" spans="8:14" x14ac:dyDescent="0.25">
      <c r="H122">
        <f t="shared" si="11"/>
        <v>117</v>
      </c>
      <c r="I122">
        <f t="shared" si="8"/>
        <v>64.194256663171899</v>
      </c>
      <c r="K122">
        <f t="shared" si="9"/>
        <v>0.11568868064251579</v>
      </c>
      <c r="L122">
        <f t="shared" si="12"/>
        <v>140.46318023293367</v>
      </c>
      <c r="M122">
        <f t="shared" si="13"/>
        <v>8.033936155730264E-7</v>
      </c>
      <c r="N122" s="44">
        <f t="shared" si="10"/>
        <v>8.033936155730264E-3</v>
      </c>
    </row>
    <row r="123" spans="8:14" x14ac:dyDescent="0.25">
      <c r="H123">
        <f t="shared" si="11"/>
        <v>118</v>
      </c>
      <c r="I123">
        <f t="shared" si="8"/>
        <v>66.383278977924974</v>
      </c>
      <c r="K123">
        <f t="shared" si="9"/>
        <v>0.1156952979541539</v>
      </c>
      <c r="L123">
        <f t="shared" si="12"/>
        <v>140.45514629677794</v>
      </c>
      <c r="M123">
        <f t="shared" si="13"/>
        <v>8.0343956912606876E-7</v>
      </c>
      <c r="N123" s="44">
        <f t="shared" si="10"/>
        <v>8.034395691260689E-3</v>
      </c>
    </row>
    <row r="124" spans="8:14" x14ac:dyDescent="0.25">
      <c r="H124">
        <f t="shared" si="11"/>
        <v>119</v>
      </c>
      <c r="I124">
        <f t="shared" si="8"/>
        <v>68.552080302832053</v>
      </c>
      <c r="K124">
        <f t="shared" si="9"/>
        <v>0.11570191640141707</v>
      </c>
      <c r="L124">
        <f t="shared" si="12"/>
        <v>140.44711190108669</v>
      </c>
      <c r="M124">
        <f t="shared" si="13"/>
        <v>8.0348553056539633E-7</v>
      </c>
      <c r="N124" s="44">
        <f t="shared" si="10"/>
        <v>8.0348553056539644E-3</v>
      </c>
    </row>
    <row r="125" spans="8:14" x14ac:dyDescent="0.25">
      <c r="H125">
        <f t="shared" si="11"/>
        <v>120</v>
      </c>
      <c r="I125">
        <f t="shared" si="8"/>
        <v>70.699999999999974</v>
      </c>
      <c r="K125">
        <f t="shared" si="9"/>
        <v>0.11570853598463014</v>
      </c>
      <c r="L125">
        <f t="shared" si="12"/>
        <v>140.43907704578103</v>
      </c>
      <c r="M125">
        <f t="shared" si="13"/>
        <v>8.0353149989326489E-7</v>
      </c>
      <c r="N125" s="44">
        <f t="shared" si="10"/>
        <v>8.0353149989326501E-3</v>
      </c>
    </row>
    <row r="126" spans="8:14" x14ac:dyDescent="0.25">
      <c r="H126">
        <f t="shared" si="11"/>
        <v>121</v>
      </c>
      <c r="I126">
        <f t="shared" si="8"/>
        <v>72.826383792281675</v>
      </c>
      <c r="K126">
        <f t="shared" si="9"/>
        <v>0.1157151567041181</v>
      </c>
      <c r="L126">
        <f t="shared" si="12"/>
        <v>140.43104173078211</v>
      </c>
      <c r="M126">
        <f t="shared" si="13"/>
        <v>8.0357747711193123E-7</v>
      </c>
      <c r="N126" s="44">
        <f t="shared" si="10"/>
        <v>8.0357747711193132E-3</v>
      </c>
    </row>
    <row r="127" spans="8:14" x14ac:dyDescent="0.25">
      <c r="H127">
        <f t="shared" si="11"/>
        <v>122</v>
      </c>
      <c r="I127">
        <f t="shared" si="8"/>
        <v>74.930583962575156</v>
      </c>
      <c r="K127">
        <f t="shared" si="9"/>
        <v>0.11572177856020605</v>
      </c>
      <c r="L127">
        <f t="shared" si="12"/>
        <v>140.423005956011</v>
      </c>
      <c r="M127">
        <f t="shared" si="13"/>
        <v>8.0362346222365312E-7</v>
      </c>
      <c r="N127" s="44">
        <f t="shared" si="10"/>
        <v>8.0362346222365311E-3</v>
      </c>
    </row>
    <row r="128" spans="8:14" x14ac:dyDescent="0.25">
      <c r="H128">
        <f t="shared" si="11"/>
        <v>123</v>
      </c>
      <c r="I128">
        <f t="shared" si="8"/>
        <v>77.011959551124832</v>
      </c>
      <c r="K128">
        <f t="shared" si="9"/>
        <v>0.11572840155321924</v>
      </c>
      <c r="L128">
        <f t="shared" si="12"/>
        <v>140.41496972138876</v>
      </c>
      <c r="M128">
        <f t="shared" si="13"/>
        <v>8.0366945523068919E-7</v>
      </c>
      <c r="N128" s="44">
        <f t="shared" si="10"/>
        <v>8.0366945523068934E-3</v>
      </c>
    </row>
    <row r="129" spans="8:14" x14ac:dyDescent="0.25">
      <c r="H129">
        <f t="shared" si="11"/>
        <v>124</v>
      </c>
      <c r="I129">
        <f t="shared" si="8"/>
        <v>79.069876550763581</v>
      </c>
      <c r="K129">
        <f t="shared" si="9"/>
        <v>0.11573502568348305</v>
      </c>
      <c r="L129">
        <f t="shared" si="12"/>
        <v>140.40693302683644</v>
      </c>
      <c r="M129">
        <f t="shared" si="13"/>
        <v>8.0371545613529899E-7</v>
      </c>
      <c r="N129" s="44">
        <f t="shared" si="10"/>
        <v>8.0371545613529913E-3</v>
      </c>
    </row>
    <row r="130" spans="8:14" x14ac:dyDescent="0.25">
      <c r="H130">
        <f t="shared" si="11"/>
        <v>125</v>
      </c>
      <c r="I130">
        <f t="shared" si="8"/>
        <v>81.103708100037935</v>
      </c>
      <c r="K130">
        <f t="shared" si="9"/>
        <v>0.11574165095132295</v>
      </c>
      <c r="L130">
        <f t="shared" si="12"/>
        <v>140.39889587227509</v>
      </c>
      <c r="M130">
        <f t="shared" si="13"/>
        <v>8.0376146493974272E-7</v>
      </c>
      <c r="N130" s="44">
        <f t="shared" si="10"/>
        <v>8.0376146493974284E-3</v>
      </c>
    </row>
    <row r="131" spans="8:14" x14ac:dyDescent="0.25">
      <c r="H131">
        <f t="shared" si="11"/>
        <v>126</v>
      </c>
      <c r="I131">
        <f t="shared" si="8"/>
        <v>83.112834674155692</v>
      </c>
      <c r="K131">
        <f t="shared" si="9"/>
        <v>0.11574827735706458</v>
      </c>
      <c r="L131">
        <f t="shared" si="12"/>
        <v>140.39085825762569</v>
      </c>
      <c r="M131">
        <f t="shared" si="13"/>
        <v>8.0380748164628187E-7</v>
      </c>
      <c r="N131" s="44">
        <f t="shared" si="10"/>
        <v>8.0380748164628202E-3</v>
      </c>
    </row>
    <row r="132" spans="8:14" x14ac:dyDescent="0.25">
      <c r="H132">
        <f t="shared" si="11"/>
        <v>127</v>
      </c>
      <c r="I132">
        <f t="shared" si="8"/>
        <v>85.096644273699638</v>
      </c>
      <c r="K132">
        <f t="shared" si="9"/>
        <v>0.11575490490103371</v>
      </c>
      <c r="L132">
        <f t="shared" si="12"/>
        <v>140.38282018280924</v>
      </c>
      <c r="M132">
        <f t="shared" si="13"/>
        <v>8.0385350625717863E-7</v>
      </c>
      <c r="N132" s="44">
        <f t="shared" si="10"/>
        <v>8.0385350625717875E-3</v>
      </c>
    </row>
    <row r="133" spans="8:14" x14ac:dyDescent="0.25">
      <c r="H133">
        <f t="shared" si="11"/>
        <v>128</v>
      </c>
      <c r="I133">
        <f t="shared" si="8"/>
        <v>87.054532611048089</v>
      </c>
      <c r="K133">
        <f t="shared" si="9"/>
        <v>0.11576153358355624</v>
      </c>
      <c r="L133">
        <f t="shared" si="12"/>
        <v>140.37478164774666</v>
      </c>
      <c r="M133">
        <f t="shared" si="13"/>
        <v>8.0389953877469619E-7</v>
      </c>
      <c r="N133" s="44">
        <f t="shared" si="10"/>
        <v>8.0389953877469632E-3</v>
      </c>
    </row>
    <row r="134" spans="8:14" x14ac:dyDescent="0.25">
      <c r="H134">
        <f t="shared" si="11"/>
        <v>129</v>
      </c>
      <c r="I134">
        <f t="shared" ref="I134:I185" si="14">ABS($E$5*COS(RADIANS(H134)))</f>
        <v>88.985903294446999</v>
      </c>
      <c r="K134">
        <f t="shared" ref="K134:K185" si="15">$E$7/L134</f>
        <v>0.11576816340495819</v>
      </c>
      <c r="L134">
        <f t="shared" si="12"/>
        <v>140.36674265235891</v>
      </c>
      <c r="M134">
        <f t="shared" si="13"/>
        <v>8.0394557920109854E-7</v>
      </c>
      <c r="N134" s="44">
        <f t="shared" ref="N134:N185" si="16">M134/E$11</f>
        <v>8.0394557920109855E-3</v>
      </c>
    </row>
    <row r="135" spans="8:14" x14ac:dyDescent="0.25">
      <c r="H135">
        <f t="shared" ref="H135:H185" si="17">H134+1</f>
        <v>130</v>
      </c>
      <c r="I135">
        <f t="shared" si="14"/>
        <v>90.890168009676671</v>
      </c>
      <c r="K135">
        <f t="shared" si="15"/>
        <v>0.11577479436556569</v>
      </c>
      <c r="L135">
        <f t="shared" si="12"/>
        <v>140.35870319656689</v>
      </c>
      <c r="M135">
        <f t="shared" si="13"/>
        <v>8.0399162753865066E-7</v>
      </c>
      <c r="N135" s="44">
        <f t="shared" si="16"/>
        <v>8.0399162753865081E-3</v>
      </c>
    </row>
    <row r="136" spans="8:14" x14ac:dyDescent="0.25">
      <c r="H136">
        <f t="shared" si="17"/>
        <v>131</v>
      </c>
      <c r="I136">
        <f t="shared" si="14"/>
        <v>92.766746699257723</v>
      </c>
      <c r="K136">
        <f t="shared" si="15"/>
        <v>0.11578142646570504</v>
      </c>
      <c r="L136">
        <f t="shared" si="12"/>
        <v>140.35066328029151</v>
      </c>
      <c r="M136">
        <f t="shared" si="13"/>
        <v>8.0403768378961836E-7</v>
      </c>
      <c r="N136" s="44">
        <f t="shared" si="16"/>
        <v>8.0403768378961848E-3</v>
      </c>
    </row>
    <row r="137" spans="8:14" x14ac:dyDescent="0.25">
      <c r="H137">
        <f t="shared" si="17"/>
        <v>132</v>
      </c>
      <c r="I137">
        <f t="shared" si="14"/>
        <v>94.61506773914256</v>
      </c>
      <c r="K137">
        <f t="shared" si="15"/>
        <v>0.11578805970570265</v>
      </c>
      <c r="L137">
        <f t="shared" si="12"/>
        <v>140.34262290345362</v>
      </c>
      <c r="M137">
        <f t="shared" si="13"/>
        <v>8.040837479562684E-7</v>
      </c>
      <c r="N137" s="44">
        <f t="shared" si="16"/>
        <v>8.040837479562685E-3</v>
      </c>
    </row>
    <row r="138" spans="8:14" x14ac:dyDescent="0.25">
      <c r="H138">
        <f t="shared" si="17"/>
        <v>133</v>
      </c>
      <c r="I138">
        <f t="shared" si="14"/>
        <v>96.434568112837269</v>
      </c>
      <c r="K138">
        <f t="shared" si="15"/>
        <v>0.11579469408588508</v>
      </c>
      <c r="L138">
        <f t="shared" si="12"/>
        <v>140.33458206597405</v>
      </c>
      <c r="M138">
        <f t="shared" si="13"/>
        <v>8.0412982004086862E-7</v>
      </c>
      <c r="N138" s="44">
        <f t="shared" si="16"/>
        <v>8.0412982004086867E-3</v>
      </c>
    </row>
    <row r="139" spans="8:14" x14ac:dyDescent="0.25">
      <c r="H139">
        <f t="shared" si="17"/>
        <v>134</v>
      </c>
      <c r="I139">
        <f t="shared" si="14"/>
        <v>98.224693582902233</v>
      </c>
      <c r="K139">
        <f t="shared" si="15"/>
        <v>0.11580132960657899</v>
      </c>
      <c r="L139">
        <f t="shared" si="12"/>
        <v>140.32654076777365</v>
      </c>
      <c r="M139">
        <f t="shared" si="13"/>
        <v>8.0417590004568747E-7</v>
      </c>
      <c r="N139" s="44">
        <f t="shared" si="16"/>
        <v>8.0417590004568749E-3</v>
      </c>
    </row>
    <row r="140" spans="8:14" x14ac:dyDescent="0.25">
      <c r="H140">
        <f t="shared" si="17"/>
        <v>135</v>
      </c>
      <c r="I140">
        <f t="shared" si="14"/>
        <v>99.984898859777815</v>
      </c>
      <c r="K140">
        <f t="shared" si="15"/>
        <v>0.1158079662681112</v>
      </c>
      <c r="L140">
        <f t="shared" si="12"/>
        <v>140.31849900877319</v>
      </c>
      <c r="M140">
        <f t="shared" si="13"/>
        <v>8.0422198797299447E-7</v>
      </c>
      <c r="N140" s="44">
        <f t="shared" si="16"/>
        <v>8.0422198797299449E-3</v>
      </c>
    </row>
    <row r="141" spans="8:14" x14ac:dyDescent="0.25">
      <c r="H141">
        <f t="shared" si="17"/>
        <v>136</v>
      </c>
      <c r="I141">
        <f t="shared" si="14"/>
        <v>101.71464776788528</v>
      </c>
      <c r="K141">
        <f t="shared" si="15"/>
        <v>0.11581460407080865</v>
      </c>
      <c r="L141">
        <f t="shared" si="12"/>
        <v>140.31045678889345</v>
      </c>
      <c r="M141">
        <f t="shared" si="13"/>
        <v>8.0426808382506009E-7</v>
      </c>
      <c r="N141" s="44">
        <f t="shared" si="16"/>
        <v>8.0426808382506008E-3</v>
      </c>
    </row>
    <row r="142" spans="8:14" x14ac:dyDescent="0.25">
      <c r="H142">
        <f t="shared" si="17"/>
        <v>137</v>
      </c>
      <c r="I142">
        <f t="shared" si="14"/>
        <v>103.4134134089507</v>
      </c>
      <c r="K142">
        <f t="shared" si="15"/>
        <v>0.1158212430149984</v>
      </c>
      <c r="L142">
        <f t="shared" si="12"/>
        <v>140.30241410805519</v>
      </c>
      <c r="M142">
        <f t="shared" si="13"/>
        <v>8.0431418760415554E-7</v>
      </c>
      <c r="N142" s="44">
        <f t="shared" si="16"/>
        <v>8.0431418760415554E-3</v>
      </c>
    </row>
    <row r="143" spans="8:14" x14ac:dyDescent="0.25">
      <c r="H143">
        <f t="shared" si="17"/>
        <v>138</v>
      </c>
      <c r="I143">
        <f t="shared" si="14"/>
        <v>105.08067832250352</v>
      </c>
      <c r="K143">
        <f t="shared" si="15"/>
        <v>0.11582788310100765</v>
      </c>
      <c r="L143">
        <f t="shared" si="12"/>
        <v>140.29437096617914</v>
      </c>
      <c r="M143">
        <f t="shared" si="13"/>
        <v>8.0436029931255321E-7</v>
      </c>
      <c r="N143" s="44">
        <f t="shared" si="16"/>
        <v>8.0436029931255336E-3</v>
      </c>
    </row>
    <row r="144" spans="8:14" x14ac:dyDescent="0.25">
      <c r="H144">
        <f t="shared" si="17"/>
        <v>139</v>
      </c>
      <c r="I144">
        <f t="shared" si="14"/>
        <v>106.71593464349996</v>
      </c>
      <c r="K144">
        <f t="shared" si="15"/>
        <v>0.11583452432916375</v>
      </c>
      <c r="L144">
        <f t="shared" si="12"/>
        <v>140.28632736318602</v>
      </c>
      <c r="M144">
        <f t="shared" si="13"/>
        <v>8.044064189525261E-7</v>
      </c>
      <c r="N144" s="44">
        <f t="shared" si="16"/>
        <v>8.0440641895252619E-3</v>
      </c>
    </row>
    <row r="145" spans="8:14" x14ac:dyDescent="0.25">
      <c r="H145">
        <f t="shared" si="17"/>
        <v>140</v>
      </c>
      <c r="I145">
        <f t="shared" si="14"/>
        <v>108.31868425702348</v>
      </c>
      <c r="K145">
        <f t="shared" si="15"/>
        <v>0.11584116669979413</v>
      </c>
      <c r="L145">
        <f t="shared" si="12"/>
        <v>140.27828329899648</v>
      </c>
      <c r="M145">
        <f t="shared" si="13"/>
        <v>8.0445254652634818E-7</v>
      </c>
      <c r="N145" s="44">
        <f t="shared" si="16"/>
        <v>8.0445254652634825E-3</v>
      </c>
    </row>
    <row r="146" spans="8:14" x14ac:dyDescent="0.25">
      <c r="H146">
        <f t="shared" si="17"/>
        <v>141</v>
      </c>
      <c r="I146">
        <f t="shared" si="14"/>
        <v>109.88843895001568</v>
      </c>
      <c r="K146">
        <f t="shared" si="15"/>
        <v>0.11584781021322643</v>
      </c>
      <c r="L146">
        <f t="shared" si="12"/>
        <v>140.27023877353122</v>
      </c>
      <c r="M146">
        <f t="shared" si="13"/>
        <v>8.0449868203629469E-7</v>
      </c>
      <c r="N146" s="44">
        <f t="shared" si="16"/>
        <v>8.0449868203629482E-3</v>
      </c>
    </row>
    <row r="147" spans="8:14" x14ac:dyDescent="0.25">
      <c r="H147">
        <f t="shared" si="17"/>
        <v>142</v>
      </c>
      <c r="I147">
        <f t="shared" si="14"/>
        <v>111.42472055999048</v>
      </c>
      <c r="K147">
        <f t="shared" si="15"/>
        <v>0.11585445486978833</v>
      </c>
      <c r="L147">
        <f t="shared" si="12"/>
        <v>140.26219378671087</v>
      </c>
      <c r="M147">
        <f t="shared" si="13"/>
        <v>8.0454482548464129E-7</v>
      </c>
      <c r="N147" s="44">
        <f t="shared" si="16"/>
        <v>8.0454482548464133E-3</v>
      </c>
    </row>
    <row r="148" spans="8:14" x14ac:dyDescent="0.25">
      <c r="H148">
        <f t="shared" si="17"/>
        <v>143</v>
      </c>
      <c r="I148">
        <f t="shared" si="14"/>
        <v>112.92706112068723</v>
      </c>
      <c r="K148">
        <f t="shared" si="15"/>
        <v>0.11586110066980773</v>
      </c>
      <c r="L148">
        <f t="shared" si="12"/>
        <v>140.25414833845602</v>
      </c>
      <c r="M148">
        <f t="shared" si="13"/>
        <v>8.045909768736648E-7</v>
      </c>
      <c r="N148" s="44">
        <f t="shared" si="16"/>
        <v>8.0459097687366494E-3</v>
      </c>
    </row>
    <row r="149" spans="8:14" x14ac:dyDescent="0.25">
      <c r="H149">
        <f t="shared" si="17"/>
        <v>144</v>
      </c>
      <c r="I149">
        <f t="shared" si="14"/>
        <v>114.39500300461756</v>
      </c>
      <c r="K149">
        <f t="shared" si="15"/>
        <v>0.1158677476136126</v>
      </c>
      <c r="L149">
        <f t="shared" si="12"/>
        <v>140.24610242868729</v>
      </c>
      <c r="M149">
        <f t="shared" si="13"/>
        <v>8.0463713620564311E-7</v>
      </c>
      <c r="N149" s="44">
        <f t="shared" si="16"/>
        <v>8.0463713620564318E-3</v>
      </c>
    </row>
    <row r="150" spans="8:14" x14ac:dyDescent="0.25">
      <c r="H150">
        <f t="shared" si="17"/>
        <v>145</v>
      </c>
      <c r="I150">
        <f t="shared" si="14"/>
        <v>115.82809906246347</v>
      </c>
      <c r="K150">
        <f t="shared" si="15"/>
        <v>0.11587439570153107</v>
      </c>
      <c r="L150">
        <f t="shared" si="12"/>
        <v>140.23805605732522</v>
      </c>
      <c r="M150">
        <f t="shared" si="13"/>
        <v>8.0468330348285473E-7</v>
      </c>
      <c r="N150" s="44">
        <f t="shared" si="16"/>
        <v>8.0468330348285478E-3</v>
      </c>
    </row>
    <row r="151" spans="8:14" x14ac:dyDescent="0.25">
      <c r="H151">
        <f t="shared" si="17"/>
        <v>146</v>
      </c>
      <c r="I151">
        <f t="shared" si="14"/>
        <v>117.22591275928289</v>
      </c>
      <c r="K151">
        <f t="shared" si="15"/>
        <v>0.1158810449338914</v>
      </c>
      <c r="L151">
        <f t="shared" si="12"/>
        <v>140.2300092242904</v>
      </c>
      <c r="M151">
        <f t="shared" si="13"/>
        <v>8.0472947870757924E-7</v>
      </c>
      <c r="N151" s="44">
        <f t="shared" si="16"/>
        <v>8.0472947870757934E-3</v>
      </c>
    </row>
    <row r="152" spans="8:14" x14ac:dyDescent="0.25">
      <c r="H152">
        <f t="shared" si="17"/>
        <v>147</v>
      </c>
      <c r="I152">
        <f t="shared" si="14"/>
        <v>118.58801830748295</v>
      </c>
      <c r="K152">
        <f t="shared" si="15"/>
        <v>0.11588769531102194</v>
      </c>
      <c r="L152">
        <f t="shared" si="12"/>
        <v>140.22196192950332</v>
      </c>
      <c r="M152">
        <f t="shared" si="13"/>
        <v>8.0477566188209685E-7</v>
      </c>
      <c r="N152" s="44">
        <f t="shared" si="16"/>
        <v>8.0477566188209698E-3</v>
      </c>
    </row>
    <row r="153" spans="8:14" x14ac:dyDescent="0.25">
      <c r="H153">
        <f t="shared" si="17"/>
        <v>148</v>
      </c>
      <c r="I153">
        <f t="shared" si="14"/>
        <v>119.91400079651864</v>
      </c>
      <c r="K153">
        <f t="shared" si="15"/>
        <v>0.11589434683325125</v>
      </c>
      <c r="L153">
        <f t="shared" si="12"/>
        <v>140.2139141728845</v>
      </c>
      <c r="M153">
        <f t="shared" si="13"/>
        <v>8.0482185300868926E-7</v>
      </c>
      <c r="N153" s="44">
        <f t="shared" si="16"/>
        <v>8.0482185300868939E-3</v>
      </c>
    </row>
    <row r="154" spans="8:14" x14ac:dyDescent="0.25">
      <c r="H154">
        <f t="shared" si="17"/>
        <v>149</v>
      </c>
      <c r="I154">
        <f t="shared" si="14"/>
        <v>121.20345631927867</v>
      </c>
      <c r="K154">
        <f t="shared" si="15"/>
        <v>0.11590099950090797</v>
      </c>
      <c r="L154">
        <f t="shared" si="12"/>
        <v>140.20586595435441</v>
      </c>
      <c r="M154">
        <f t="shared" si="13"/>
        <v>8.048680520896387E-7</v>
      </c>
      <c r="N154" s="44">
        <f t="shared" si="16"/>
        <v>8.0486805208963876E-3</v>
      </c>
    </row>
    <row r="155" spans="8:14" x14ac:dyDescent="0.25">
      <c r="H155">
        <f t="shared" si="17"/>
        <v>150</v>
      </c>
      <c r="I155">
        <f t="shared" si="14"/>
        <v>122.45599209511964</v>
      </c>
      <c r="K155">
        <f t="shared" si="15"/>
        <v>0.11590765331432086</v>
      </c>
      <c r="L155">
        <f t="shared" si="12"/>
        <v>140.19781727383352</v>
      </c>
      <c r="M155">
        <f t="shared" si="13"/>
        <v>8.0491425912722823E-7</v>
      </c>
      <c r="N155" s="44">
        <f t="shared" si="16"/>
        <v>8.0491425912722833E-3</v>
      </c>
    </row>
    <row r="156" spans="8:14" x14ac:dyDescent="0.25">
      <c r="H156">
        <f t="shared" si="17"/>
        <v>151</v>
      </c>
      <c r="I156">
        <f t="shared" si="14"/>
        <v>123.67122658951057</v>
      </c>
      <c r="K156">
        <f t="shared" si="15"/>
        <v>0.11591430827381885</v>
      </c>
      <c r="L156">
        <f t="shared" si="12"/>
        <v>140.18976813124226</v>
      </c>
      <c r="M156">
        <f t="shared" si="13"/>
        <v>8.0496047412374209E-7</v>
      </c>
      <c r="N156" s="44">
        <f t="shared" si="16"/>
        <v>8.0496047412374223E-3</v>
      </c>
    </row>
    <row r="157" spans="8:14" x14ac:dyDescent="0.25">
      <c r="H157">
        <f t="shared" si="17"/>
        <v>152</v>
      </c>
      <c r="I157">
        <f t="shared" si="14"/>
        <v>124.84878963025228</v>
      </c>
      <c r="K157">
        <f t="shared" si="15"/>
        <v>0.11592096437973098</v>
      </c>
      <c r="L157">
        <f t="shared" si="12"/>
        <v>140.18171852650102</v>
      </c>
      <c r="M157">
        <f t="shared" si="13"/>
        <v>8.0500669708146516E-7</v>
      </c>
      <c r="N157" s="44">
        <f t="shared" si="16"/>
        <v>8.0500669708146524E-3</v>
      </c>
    </row>
    <row r="158" spans="8:14" x14ac:dyDescent="0.25">
      <c r="H158">
        <f t="shared" si="17"/>
        <v>153</v>
      </c>
      <c r="I158">
        <f t="shared" si="14"/>
        <v>125.98832252023522</v>
      </c>
      <c r="K158">
        <f t="shared" si="15"/>
        <v>0.11592762163238644</v>
      </c>
      <c r="L158">
        <f t="shared" ref="L158:L185" si="18">MAX(I158,L157-N157)</f>
        <v>140.17366845953021</v>
      </c>
      <c r="M158">
        <f t="shared" ref="M158:M185" si="19">K158*$E$9</f>
        <v>8.0505292800268367E-7</v>
      </c>
      <c r="N158" s="44">
        <f t="shared" si="16"/>
        <v>8.0505292800268375E-3</v>
      </c>
    </row>
    <row r="159" spans="8:14" x14ac:dyDescent="0.25">
      <c r="H159">
        <f t="shared" si="17"/>
        <v>154</v>
      </c>
      <c r="I159">
        <f t="shared" si="14"/>
        <v>127.08947814670222</v>
      </c>
      <c r="K159">
        <f t="shared" si="15"/>
        <v>0.11593428003211456</v>
      </c>
      <c r="L159">
        <f t="shared" si="18"/>
        <v>140.16561793025016</v>
      </c>
      <c r="M159">
        <f t="shared" si="19"/>
        <v>8.0509916688968452E-7</v>
      </c>
      <c r="N159" s="44">
        <f t="shared" si="16"/>
        <v>8.0509916688968463E-3</v>
      </c>
    </row>
    <row r="160" spans="8:14" x14ac:dyDescent="0.25">
      <c r="H160">
        <f t="shared" si="17"/>
        <v>155</v>
      </c>
      <c r="I160">
        <f t="shared" si="14"/>
        <v>128.1519210869823</v>
      </c>
      <c r="K160">
        <f t="shared" si="15"/>
        <v>0.11594093957924474</v>
      </c>
      <c r="L160">
        <f t="shared" si="18"/>
        <v>140.15756693858125</v>
      </c>
      <c r="M160">
        <f t="shared" si="19"/>
        <v>8.0514541374475522E-7</v>
      </c>
      <c r="N160" s="44">
        <f t="shared" si="16"/>
        <v>8.0514541374475529E-3</v>
      </c>
    </row>
    <row r="161" spans="8:14" x14ac:dyDescent="0.25">
      <c r="H161">
        <f t="shared" si="17"/>
        <v>156</v>
      </c>
      <c r="I161">
        <f t="shared" si="14"/>
        <v>129.17532771066377</v>
      </c>
      <c r="K161">
        <f t="shared" si="15"/>
        <v>0.11594760027410657</v>
      </c>
      <c r="L161">
        <f t="shared" si="18"/>
        <v>140.14951548444381</v>
      </c>
      <c r="M161">
        <f t="shared" si="19"/>
        <v>8.0519166857018456E-7</v>
      </c>
      <c r="N161" s="44">
        <f t="shared" si="16"/>
        <v>8.051916685701847E-3</v>
      </c>
    </row>
    <row r="162" spans="8:14" x14ac:dyDescent="0.25">
      <c r="H162">
        <f t="shared" si="17"/>
        <v>157</v>
      </c>
      <c r="I162">
        <f t="shared" si="14"/>
        <v>130.15938627817508</v>
      </c>
      <c r="K162">
        <f t="shared" si="15"/>
        <v>0.11595426211702976</v>
      </c>
      <c r="L162">
        <f t="shared" si="18"/>
        <v>140.14146356775811</v>
      </c>
      <c r="M162">
        <f t="shared" si="19"/>
        <v>8.0523793136826228E-7</v>
      </c>
      <c r="N162" s="44">
        <f t="shared" si="16"/>
        <v>8.0523793136826234E-3</v>
      </c>
    </row>
    <row r="163" spans="8:14" x14ac:dyDescent="0.25">
      <c r="H163">
        <f t="shared" si="17"/>
        <v>158</v>
      </c>
      <c r="I163">
        <f t="shared" si="14"/>
        <v>131.10379703574372</v>
      </c>
      <c r="K163">
        <f t="shared" si="15"/>
        <v>0.11596092510834415</v>
      </c>
      <c r="L163">
        <f t="shared" si="18"/>
        <v>140.13341118844443</v>
      </c>
      <c r="M163">
        <f t="shared" si="19"/>
        <v>8.0528420214127887E-7</v>
      </c>
      <c r="N163" s="44">
        <f t="shared" si="16"/>
        <v>8.0528420214127892E-3</v>
      </c>
    </row>
    <row r="164" spans="8:14" x14ac:dyDescent="0.25">
      <c r="H164">
        <f t="shared" si="17"/>
        <v>159</v>
      </c>
      <c r="I164">
        <f t="shared" si="14"/>
        <v>132.00827230670433</v>
      </c>
      <c r="K164">
        <f t="shared" si="15"/>
        <v>0.11596758924837972</v>
      </c>
      <c r="L164">
        <f t="shared" si="18"/>
        <v>140.12535834642301</v>
      </c>
      <c r="M164">
        <f t="shared" si="19"/>
        <v>8.0533048089152586E-7</v>
      </c>
      <c r="N164" s="44">
        <f t="shared" si="16"/>
        <v>8.0533048089152601E-3</v>
      </c>
    </row>
    <row r="165" spans="8:14" x14ac:dyDescent="0.25">
      <c r="H165">
        <f t="shared" si="17"/>
        <v>160</v>
      </c>
      <c r="I165">
        <f t="shared" si="14"/>
        <v>132.87253657912746</v>
      </c>
      <c r="K165">
        <f t="shared" si="15"/>
        <v>0.11597425453746657</v>
      </c>
      <c r="L165">
        <f t="shared" si="18"/>
        <v>140.11730504161409</v>
      </c>
      <c r="M165">
        <f t="shared" si="19"/>
        <v>8.0537676762129565E-7</v>
      </c>
      <c r="N165" s="44">
        <f t="shared" si="16"/>
        <v>8.053767676212957E-3</v>
      </c>
    </row>
    <row r="166" spans="8:14" x14ac:dyDescent="0.25">
      <c r="H166">
        <f t="shared" si="17"/>
        <v>161</v>
      </c>
      <c r="I166">
        <f t="shared" si="14"/>
        <v>133.69632658974342</v>
      </c>
      <c r="K166">
        <f t="shared" si="15"/>
        <v>0.11598092097593495</v>
      </c>
      <c r="L166">
        <f t="shared" si="18"/>
        <v>140.10925127393787</v>
      </c>
      <c r="M166">
        <f t="shared" si="19"/>
        <v>8.0542306233288158E-7</v>
      </c>
      <c r="N166" s="44">
        <f t="shared" si="16"/>
        <v>8.0542306233288164E-3</v>
      </c>
    </row>
    <row r="167" spans="8:14" x14ac:dyDescent="0.25">
      <c r="H167">
        <f t="shared" si="17"/>
        <v>162</v>
      </c>
      <c r="I167">
        <f t="shared" si="14"/>
        <v>134.4793914041347</v>
      </c>
      <c r="K167">
        <f t="shared" si="15"/>
        <v>0.11598758856411519</v>
      </c>
      <c r="L167">
        <f t="shared" si="18"/>
        <v>140.10119704331456</v>
      </c>
      <c r="M167">
        <f t="shared" si="19"/>
        <v>8.0546936502857773E-7</v>
      </c>
      <c r="N167" s="44">
        <f t="shared" si="16"/>
        <v>8.0546936502857783E-3</v>
      </c>
    </row>
    <row r="168" spans="8:14" x14ac:dyDescent="0.25">
      <c r="H168">
        <f t="shared" si="17"/>
        <v>163</v>
      </c>
      <c r="I168">
        <f t="shared" si="14"/>
        <v>135.22149249317323</v>
      </c>
      <c r="K168">
        <f t="shared" si="15"/>
        <v>0.11599425730233784</v>
      </c>
      <c r="L168">
        <f t="shared" si="18"/>
        <v>140.09314234966428</v>
      </c>
      <c r="M168">
        <f t="shared" si="19"/>
        <v>8.0551567571067945E-7</v>
      </c>
      <c r="N168" s="44">
        <f t="shared" si="16"/>
        <v>8.0551567571067947E-3</v>
      </c>
    </row>
    <row r="169" spans="8:14" x14ac:dyDescent="0.25">
      <c r="H169">
        <f t="shared" si="17"/>
        <v>164</v>
      </c>
      <c r="I169">
        <f t="shared" si="14"/>
        <v>135.9224038056783</v>
      </c>
      <c r="K169">
        <f t="shared" si="15"/>
        <v>0.11600092719093354</v>
      </c>
      <c r="L169">
        <f t="shared" si="18"/>
        <v>140.08508719290717</v>
      </c>
      <c r="M169">
        <f t="shared" si="19"/>
        <v>8.0556199438148294E-7</v>
      </c>
      <c r="N169" s="44">
        <f t="shared" si="16"/>
        <v>8.0556199438148301E-3</v>
      </c>
    </row>
    <row r="170" spans="8:14" x14ac:dyDescent="0.25">
      <c r="H170">
        <f t="shared" si="17"/>
        <v>165</v>
      </c>
      <c r="I170">
        <f t="shared" si="14"/>
        <v>136.58191183727425</v>
      </c>
      <c r="K170">
        <f t="shared" si="15"/>
        <v>0.11600759823023302</v>
      </c>
      <c r="L170">
        <f t="shared" si="18"/>
        <v>140.07703157296336</v>
      </c>
      <c r="M170">
        <f t="shared" si="19"/>
        <v>8.0560832104328484E-7</v>
      </c>
      <c r="N170" s="44">
        <f t="shared" si="16"/>
        <v>8.0560832104328486E-3</v>
      </c>
    </row>
    <row r="171" spans="8:14" x14ac:dyDescent="0.25">
      <c r="H171">
        <f t="shared" si="17"/>
        <v>166</v>
      </c>
      <c r="I171">
        <f t="shared" si="14"/>
        <v>137.19981569542591</v>
      </c>
      <c r="K171">
        <f t="shared" si="15"/>
        <v>0.11601427042056722</v>
      </c>
      <c r="L171">
        <f t="shared" si="18"/>
        <v>140.06897548975294</v>
      </c>
      <c r="M171">
        <f t="shared" si="19"/>
        <v>8.0565465569838355E-7</v>
      </c>
      <c r="N171" s="44">
        <f t="shared" si="16"/>
        <v>8.056546556983837E-3</v>
      </c>
    </row>
    <row r="172" spans="8:14" x14ac:dyDescent="0.25">
      <c r="H172">
        <f t="shared" si="17"/>
        <v>167</v>
      </c>
      <c r="I172">
        <f t="shared" si="14"/>
        <v>137.77592716063225</v>
      </c>
      <c r="K172">
        <f t="shared" si="15"/>
        <v>0.11602094376226718</v>
      </c>
      <c r="L172">
        <f t="shared" si="18"/>
        <v>140.06091894319596</v>
      </c>
      <c r="M172">
        <f t="shared" si="19"/>
        <v>8.0570099834907772E-7</v>
      </c>
      <c r="N172" s="44">
        <f t="shared" si="16"/>
        <v>8.0570099834907788E-3</v>
      </c>
    </row>
    <row r="173" spans="8:14" x14ac:dyDescent="0.25">
      <c r="H173">
        <f t="shared" si="17"/>
        <v>168</v>
      </c>
      <c r="I173">
        <f t="shared" si="14"/>
        <v>138.31007074376012</v>
      </c>
      <c r="K173">
        <f t="shared" si="15"/>
        <v>0.11602761825566406</v>
      </c>
      <c r="L173">
        <f t="shared" si="18"/>
        <v>140.05286193321245</v>
      </c>
      <c r="M173">
        <f t="shared" si="19"/>
        <v>8.0574734899766716E-7</v>
      </c>
      <c r="N173" s="44">
        <f t="shared" si="16"/>
        <v>8.0574734899766728E-3</v>
      </c>
    </row>
    <row r="174" spans="8:14" x14ac:dyDescent="0.25">
      <c r="H174">
        <f t="shared" si="17"/>
        <v>169</v>
      </c>
      <c r="I174">
        <f t="shared" si="14"/>
        <v>138.80208373949969</v>
      </c>
      <c r="K174">
        <f t="shared" si="15"/>
        <v>0.11603429390108916</v>
      </c>
      <c r="L174">
        <f t="shared" si="18"/>
        <v>140.04480445972249</v>
      </c>
      <c r="M174">
        <f t="shared" si="19"/>
        <v>8.0579370764645249E-7</v>
      </c>
      <c r="N174" s="44">
        <f t="shared" si="16"/>
        <v>8.0579370764645251E-3</v>
      </c>
    </row>
    <row r="175" spans="8:14" x14ac:dyDescent="0.25">
      <c r="H175">
        <f t="shared" si="17"/>
        <v>170</v>
      </c>
      <c r="I175">
        <f t="shared" si="14"/>
        <v>139.25181627592622</v>
      </c>
      <c r="K175">
        <f t="shared" si="15"/>
        <v>0.11604097069887392</v>
      </c>
      <c r="L175">
        <f t="shared" si="18"/>
        <v>140.03674652264601</v>
      </c>
      <c r="M175">
        <f t="shared" si="19"/>
        <v>8.0584007429773565E-7</v>
      </c>
      <c r="N175" s="44">
        <f t="shared" si="16"/>
        <v>8.058400742977357E-3</v>
      </c>
    </row>
    <row r="176" spans="8:14" x14ac:dyDescent="0.25">
      <c r="H176">
        <f t="shared" si="17"/>
        <v>171</v>
      </c>
      <c r="I176">
        <f t="shared" si="14"/>
        <v>139.65913136015246</v>
      </c>
      <c r="K176">
        <f t="shared" si="15"/>
        <v>0.11604764864934991</v>
      </c>
      <c r="L176">
        <f t="shared" si="18"/>
        <v>140.02868812190303</v>
      </c>
      <c r="M176">
        <f t="shared" si="19"/>
        <v>8.0588644895381887E-7</v>
      </c>
      <c r="N176" s="44">
        <f t="shared" si="16"/>
        <v>8.0588644895381902E-3</v>
      </c>
    </row>
    <row r="177" spans="8:14" x14ac:dyDescent="0.25">
      <c r="H177">
        <f t="shared" si="17"/>
        <v>172</v>
      </c>
      <c r="I177">
        <f t="shared" si="14"/>
        <v>140.02390492005804</v>
      </c>
      <c r="K177">
        <f t="shared" si="15"/>
        <v>0.11605161282480583</v>
      </c>
      <c r="L177">
        <f t="shared" si="18"/>
        <v>140.02390492005804</v>
      </c>
      <c r="M177">
        <f t="shared" si="19"/>
        <v>8.0591397795004059E-7</v>
      </c>
      <c r="N177" s="44">
        <f t="shared" si="16"/>
        <v>8.0591397795004068E-3</v>
      </c>
    </row>
    <row r="178" spans="8:14" x14ac:dyDescent="0.25">
      <c r="H178">
        <f t="shared" si="17"/>
        <v>173</v>
      </c>
      <c r="I178">
        <f t="shared" si="14"/>
        <v>140.34602584208292</v>
      </c>
      <c r="K178">
        <f t="shared" si="15"/>
        <v>0.11578525221857346</v>
      </c>
      <c r="L178">
        <f t="shared" si="18"/>
        <v>140.34602584208292</v>
      </c>
      <c r="M178">
        <f t="shared" si="19"/>
        <v>8.0406425151787126E-7</v>
      </c>
      <c r="N178" s="44">
        <f t="shared" si="16"/>
        <v>8.0406425151787128E-3</v>
      </c>
    </row>
    <row r="179" spans="8:14" x14ac:dyDescent="0.25">
      <c r="H179">
        <f t="shared" si="17"/>
        <v>174</v>
      </c>
      <c r="I179">
        <f t="shared" si="14"/>
        <v>140.62539600507384</v>
      </c>
      <c r="K179">
        <f t="shared" si="15"/>
        <v>0.11555523014785815</v>
      </c>
      <c r="L179">
        <f t="shared" si="18"/>
        <v>140.62539600507384</v>
      </c>
      <c r="M179">
        <f t="shared" si="19"/>
        <v>8.0246687602679277E-7</v>
      </c>
      <c r="N179" s="44">
        <f t="shared" si="16"/>
        <v>8.0246687602679289E-3</v>
      </c>
    </row>
    <row r="180" spans="8:14" x14ac:dyDescent="0.25">
      <c r="H180">
        <f t="shared" si="17"/>
        <v>175</v>
      </c>
      <c r="I180">
        <f t="shared" si="14"/>
        <v>140.86193031017282</v>
      </c>
      <c r="K180">
        <f t="shared" si="15"/>
        <v>0.11536119066534226</v>
      </c>
      <c r="L180">
        <f t="shared" si="18"/>
        <v>140.86193031017282</v>
      </c>
      <c r="M180">
        <f t="shared" si="19"/>
        <v>8.011193796204324E-7</v>
      </c>
      <c r="N180" s="44">
        <f t="shared" si="16"/>
        <v>8.0111937962043245E-3</v>
      </c>
    </row>
    <row r="181" spans="8:14" x14ac:dyDescent="0.25">
      <c r="H181">
        <f t="shared" si="17"/>
        <v>176</v>
      </c>
      <c r="I181">
        <f t="shared" si="14"/>
        <v>141.05555670673914</v>
      </c>
      <c r="K181">
        <f t="shared" si="15"/>
        <v>0.11520283482191689</v>
      </c>
      <c r="L181">
        <f t="shared" si="18"/>
        <v>141.05555670673914</v>
      </c>
      <c r="M181">
        <f t="shared" si="19"/>
        <v>8.0001968626331174E-7</v>
      </c>
      <c r="N181" s="44">
        <f t="shared" si="16"/>
        <v>8.0001968626331188E-3</v>
      </c>
    </row>
    <row r="182" spans="8:14" x14ac:dyDescent="0.25">
      <c r="H182">
        <f t="shared" si="17"/>
        <v>177</v>
      </c>
      <c r="I182">
        <f t="shared" si="14"/>
        <v>141.20621621429675</v>
      </c>
      <c r="K182">
        <f t="shared" si="15"/>
        <v>0.11507991953653618</v>
      </c>
      <c r="L182">
        <f t="shared" si="18"/>
        <v>141.20621621429675</v>
      </c>
      <c r="M182">
        <f t="shared" si="19"/>
        <v>7.9916610789261241E-7</v>
      </c>
      <c r="N182" s="44">
        <f t="shared" si="16"/>
        <v>7.9916610789261249E-3</v>
      </c>
    </row>
    <row r="183" spans="8:14" x14ac:dyDescent="0.25">
      <c r="H183">
        <f t="shared" si="17"/>
        <v>178</v>
      </c>
      <c r="I183">
        <f t="shared" si="14"/>
        <v>141.31386294050014</v>
      </c>
      <c r="K183">
        <f t="shared" si="15"/>
        <v>0.11499225668214889</v>
      </c>
      <c r="L183">
        <f t="shared" si="18"/>
        <v>141.31386294050014</v>
      </c>
      <c r="M183">
        <f t="shared" si="19"/>
        <v>7.9855733807047844E-7</v>
      </c>
      <c r="N183" s="44">
        <f t="shared" si="16"/>
        <v>7.9855733807047847E-3</v>
      </c>
    </row>
    <row r="184" spans="8:14" x14ac:dyDescent="0.25">
      <c r="H184">
        <f t="shared" si="17"/>
        <v>179</v>
      </c>
      <c r="I184">
        <f t="shared" si="14"/>
        <v>141.37846409511374</v>
      </c>
      <c r="K184">
        <f t="shared" si="15"/>
        <v>0.11493971238128357</v>
      </c>
      <c r="L184">
        <f t="shared" si="18"/>
        <v>141.37846409511374</v>
      </c>
      <c r="M184">
        <f t="shared" si="19"/>
        <v>7.9819244709224703E-7</v>
      </c>
      <c r="N184" s="44">
        <f t="shared" si="16"/>
        <v>7.9819244709224708E-3</v>
      </c>
    </row>
    <row r="185" spans="8:14" x14ac:dyDescent="0.25">
      <c r="H185">
        <f t="shared" si="17"/>
        <v>180</v>
      </c>
      <c r="I185">
        <f t="shared" si="14"/>
        <v>141.4</v>
      </c>
      <c r="K185">
        <f t="shared" si="15"/>
        <v>0.11492220650636492</v>
      </c>
      <c r="L185">
        <f t="shared" si="18"/>
        <v>141.4</v>
      </c>
      <c r="M185">
        <f t="shared" si="19"/>
        <v>7.9807087851642313E-7</v>
      </c>
      <c r="N185" s="44">
        <f t="shared" si="16"/>
        <v>7.9807087851642318E-3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J52"/>
  <sheetViews>
    <sheetView workbookViewId="0">
      <selection activeCell="J8" sqref="J8"/>
    </sheetView>
  </sheetViews>
  <sheetFormatPr defaultRowHeight="21" x14ac:dyDescent="0.35"/>
  <cols>
    <col min="1" max="1" width="9.140625" style="124"/>
    <col min="2" max="4" width="20.7109375" style="124" customWidth="1"/>
    <col min="5" max="6" width="20.7109375" style="188" customWidth="1"/>
    <col min="7" max="8" width="20.7109375" style="124" customWidth="1"/>
    <col min="9" max="10" width="20.7109375" style="188" customWidth="1"/>
    <col min="11" max="15" width="20.7109375" style="124" customWidth="1"/>
    <col min="16" max="19" width="20.7109375" style="124" hidden="1" customWidth="1"/>
    <col min="20" max="20" width="0" style="124" hidden="1" customWidth="1"/>
    <col min="21" max="21" width="12.7109375" style="124" hidden="1" customWidth="1"/>
    <col min="22" max="22" width="18.5703125" style="124" hidden="1" customWidth="1"/>
    <col min="23" max="23" width="9.28515625" style="124" hidden="1" customWidth="1"/>
    <col min="24" max="36" width="0" style="124" hidden="1" customWidth="1"/>
    <col min="37" max="16384" width="9.140625" style="124"/>
  </cols>
  <sheetData>
    <row r="1" spans="2:36" ht="24.95" customHeight="1" x14ac:dyDescent="0.35">
      <c r="B1" s="122"/>
      <c r="C1" s="122"/>
      <c r="D1" s="122"/>
      <c r="E1" s="123"/>
      <c r="F1" s="123"/>
      <c r="G1" s="122"/>
      <c r="H1" s="122"/>
      <c r="I1" s="123"/>
      <c r="J1" s="123"/>
      <c r="K1" s="122"/>
      <c r="L1" s="122"/>
      <c r="M1" s="122"/>
    </row>
    <row r="2" spans="2:36" ht="51" customHeight="1" x14ac:dyDescent="0.35">
      <c r="B2" s="125"/>
      <c r="C2" s="369" t="s">
        <v>282</v>
      </c>
      <c r="D2" s="369"/>
      <c r="E2" s="369"/>
      <c r="F2" s="369"/>
      <c r="G2" s="369"/>
      <c r="H2" s="369"/>
      <c r="I2" s="369"/>
      <c r="J2" s="369"/>
      <c r="K2" s="369"/>
      <c r="L2" s="126"/>
      <c r="M2" s="125"/>
      <c r="N2" s="127"/>
      <c r="O2" s="127"/>
      <c r="P2" s="127"/>
      <c r="AA2" s="370" t="s">
        <v>155</v>
      </c>
      <c r="AB2" s="370"/>
      <c r="AE2" s="370" t="s">
        <v>156</v>
      </c>
      <c r="AF2" s="370"/>
    </row>
    <row r="3" spans="2:36" ht="24.95" customHeight="1" x14ac:dyDescent="0.35">
      <c r="B3" s="125"/>
      <c r="C3" s="125"/>
      <c r="D3" s="125"/>
      <c r="E3" s="128"/>
      <c r="F3" s="128"/>
      <c r="G3" s="125"/>
      <c r="H3" s="125"/>
      <c r="I3" s="128"/>
      <c r="J3" s="128"/>
      <c r="K3" s="125"/>
      <c r="L3" s="125"/>
      <c r="M3" s="125"/>
      <c r="N3" s="127"/>
      <c r="O3" s="127"/>
      <c r="P3" s="127"/>
      <c r="AA3" s="129" t="s">
        <v>139</v>
      </c>
      <c r="AB3" s="129">
        <f>J12</f>
        <v>80</v>
      </c>
      <c r="AE3" s="129" t="s">
        <v>139</v>
      </c>
      <c r="AF3" s="130">
        <f>F30</f>
        <v>452.47999999999996</v>
      </c>
      <c r="AI3" s="129" t="s">
        <v>139</v>
      </c>
      <c r="AJ3" s="130">
        <f>AB3</f>
        <v>80</v>
      </c>
    </row>
    <row r="4" spans="2:36" ht="24.95" customHeight="1" x14ac:dyDescent="0.35">
      <c r="B4" s="131"/>
      <c r="C4" s="131"/>
      <c r="D4" s="131"/>
      <c r="E4" s="132"/>
      <c r="F4" s="132"/>
      <c r="G4" s="131"/>
      <c r="H4" s="131"/>
      <c r="I4" s="132"/>
      <c r="J4" s="132"/>
      <c r="K4" s="131"/>
      <c r="L4" s="131"/>
      <c r="M4" s="131"/>
      <c r="N4" s="133"/>
      <c r="O4" s="133"/>
      <c r="P4" s="133"/>
      <c r="AA4" s="129" t="s">
        <v>140</v>
      </c>
      <c r="AB4" s="129">
        <f>J7</f>
        <v>5</v>
      </c>
      <c r="AE4" s="129" t="s">
        <v>140</v>
      </c>
      <c r="AF4" s="129">
        <f>J7</f>
        <v>5</v>
      </c>
      <c r="AI4" s="129" t="s">
        <v>140</v>
      </c>
      <c r="AJ4" s="129">
        <f>AB4</f>
        <v>5</v>
      </c>
    </row>
    <row r="5" spans="2:36" s="137" customFormat="1" ht="36" customHeight="1" x14ac:dyDescent="0.25">
      <c r="B5" s="134"/>
      <c r="C5" s="371" t="s">
        <v>0</v>
      </c>
      <c r="D5" s="371"/>
      <c r="E5" s="371"/>
      <c r="F5" s="371"/>
      <c r="G5" s="371"/>
      <c r="H5" s="371"/>
      <c r="I5" s="371"/>
      <c r="J5" s="371"/>
      <c r="K5" s="371"/>
      <c r="L5" s="135"/>
      <c r="M5" s="134"/>
      <c r="N5" s="136"/>
      <c r="P5" s="136"/>
      <c r="AA5" s="129" t="s">
        <v>141</v>
      </c>
      <c r="AB5" s="138">
        <f>C41*0.000001</f>
        <v>1.1999999999999999E-4</v>
      </c>
      <c r="AE5" s="129" t="s">
        <v>141</v>
      </c>
      <c r="AF5" s="138">
        <f>AB5</f>
        <v>1.1999999999999999E-4</v>
      </c>
      <c r="AI5" s="129" t="s">
        <v>141</v>
      </c>
      <c r="AJ5" s="138">
        <f>AF5</f>
        <v>1.1999999999999999E-4</v>
      </c>
    </row>
    <row r="6" spans="2:36" ht="24.95" customHeight="1" x14ac:dyDescent="0.35">
      <c r="B6" s="131"/>
      <c r="C6" s="131"/>
      <c r="D6" s="131"/>
      <c r="E6" s="132"/>
      <c r="F6" s="132"/>
      <c r="G6" s="131"/>
      <c r="H6" s="131"/>
      <c r="I6" s="132"/>
      <c r="J6" s="132"/>
      <c r="K6" s="131"/>
      <c r="L6" s="131"/>
      <c r="M6" s="122"/>
      <c r="N6" s="133"/>
      <c r="P6" s="139">
        <f>E8*1.414*1.25</f>
        <v>565.59999999999991</v>
      </c>
      <c r="W6" s="124">
        <v>47</v>
      </c>
      <c r="AA6" s="129" t="s">
        <v>142</v>
      </c>
      <c r="AB6" s="129">
        <f>J8</f>
        <v>3.25</v>
      </c>
      <c r="AE6" s="129" t="s">
        <v>142</v>
      </c>
      <c r="AF6" s="129">
        <f>J8</f>
        <v>3.25</v>
      </c>
      <c r="AI6" s="129" t="s">
        <v>142</v>
      </c>
      <c r="AJ6" s="138">
        <f>AF7*J10</f>
        <v>3.9722222222222228</v>
      </c>
    </row>
    <row r="7" spans="2:36" ht="24.95" customHeight="1" x14ac:dyDescent="0.35">
      <c r="B7" s="140"/>
      <c r="C7" s="372" t="s">
        <v>28</v>
      </c>
      <c r="D7" s="372"/>
      <c r="E7" s="141">
        <f>'Step 2 - Operating Conditions'!E7</f>
        <v>100</v>
      </c>
      <c r="F7" s="142" t="s">
        <v>36</v>
      </c>
      <c r="G7" s="143"/>
      <c r="H7" s="372" t="s">
        <v>30</v>
      </c>
      <c r="I7" s="372"/>
      <c r="J7" s="272">
        <v>5</v>
      </c>
      <c r="K7" s="142" t="s">
        <v>37</v>
      </c>
      <c r="L7" s="140"/>
      <c r="M7" s="122"/>
      <c r="P7" s="124">
        <f>L30*1.25</f>
        <v>87.05</v>
      </c>
      <c r="W7" s="124">
        <v>50</v>
      </c>
      <c r="AA7" s="129"/>
      <c r="AB7" s="138">
        <f>AB6/AB10</f>
        <v>3.6111111111111112</v>
      </c>
      <c r="AE7" s="129"/>
      <c r="AF7" s="138">
        <f>AF6/AF10</f>
        <v>3.6111111111111112</v>
      </c>
      <c r="AI7" s="129"/>
      <c r="AJ7" s="138">
        <f>AJ6/AJ10</f>
        <v>4.4135802469135808</v>
      </c>
    </row>
    <row r="8" spans="2:36" ht="24.95" customHeight="1" x14ac:dyDescent="0.35">
      <c r="B8" s="122"/>
      <c r="C8" s="372" t="s">
        <v>23</v>
      </c>
      <c r="D8" s="372"/>
      <c r="E8" s="141">
        <f>'Step 2 - Operating Conditions'!E9</f>
        <v>320</v>
      </c>
      <c r="F8" s="142" t="s">
        <v>36</v>
      </c>
      <c r="G8" s="143"/>
      <c r="H8" s="372" t="s">
        <v>31</v>
      </c>
      <c r="I8" s="372"/>
      <c r="J8" s="272">
        <v>3.25</v>
      </c>
      <c r="K8" s="142" t="s">
        <v>38</v>
      </c>
      <c r="L8" s="122"/>
      <c r="M8" s="122"/>
      <c r="W8" s="124">
        <v>60</v>
      </c>
      <c r="AA8" s="129" t="s">
        <v>143</v>
      </c>
      <c r="AB8" s="138">
        <f>0.5/V27</f>
        <v>3.3769204313989988E-7</v>
      </c>
      <c r="AE8" s="129" t="s">
        <v>143</v>
      </c>
      <c r="AF8" s="138">
        <f>V28</f>
        <v>3.3769204313989988E-7</v>
      </c>
      <c r="AI8" s="129" t="s">
        <v>143</v>
      </c>
      <c r="AJ8" s="138">
        <f>AB8</f>
        <v>3.3769204313989988E-7</v>
      </c>
    </row>
    <row r="9" spans="2:36" ht="24.95" customHeight="1" x14ac:dyDescent="0.35">
      <c r="B9" s="122"/>
      <c r="C9" s="144"/>
      <c r="D9" s="144"/>
      <c r="E9" s="229"/>
      <c r="F9" s="229"/>
      <c r="G9" s="143"/>
      <c r="H9" s="145"/>
      <c r="I9" s="145"/>
      <c r="J9" s="145"/>
      <c r="K9" s="145"/>
      <c r="L9" s="122"/>
      <c r="M9" s="122"/>
      <c r="P9" s="124">
        <f>J8*J10*1.25</f>
        <v>4.46875</v>
      </c>
      <c r="W9" s="124">
        <v>63</v>
      </c>
      <c r="AA9" s="129" t="s">
        <v>144</v>
      </c>
      <c r="AB9" s="129">
        <f>J15</f>
        <v>7</v>
      </c>
      <c r="AE9" s="129" t="s">
        <v>144</v>
      </c>
      <c r="AF9" s="129">
        <f>J15</f>
        <v>7</v>
      </c>
      <c r="AI9" s="129" t="s">
        <v>144</v>
      </c>
      <c r="AJ9" s="129">
        <f>AB9</f>
        <v>7</v>
      </c>
    </row>
    <row r="10" spans="2:36" ht="24.95" customHeight="1" x14ac:dyDescent="0.35">
      <c r="B10" s="122"/>
      <c r="C10" s="372" t="s">
        <v>24</v>
      </c>
      <c r="D10" s="372"/>
      <c r="E10" s="141">
        <v>50</v>
      </c>
      <c r="F10" s="142" t="s">
        <v>27</v>
      </c>
      <c r="G10" s="143"/>
      <c r="H10" s="372" t="s">
        <v>32</v>
      </c>
      <c r="I10" s="372"/>
      <c r="J10" s="146">
        <f>'Step 2 - Operating Conditions'!J11</f>
        <v>1.1000000000000001</v>
      </c>
      <c r="K10" s="142" t="s">
        <v>29</v>
      </c>
      <c r="L10" s="122"/>
      <c r="M10" s="122"/>
      <c r="P10" s="124">
        <f>E12/(E7*0.636)</f>
        <v>0.25550314465408802</v>
      </c>
      <c r="W10" s="124">
        <v>400</v>
      </c>
      <c r="AA10" s="129" t="s">
        <v>145</v>
      </c>
      <c r="AB10" s="147">
        <f>E14</f>
        <v>0.9</v>
      </c>
      <c r="AE10" s="129" t="s">
        <v>145</v>
      </c>
      <c r="AF10" s="147">
        <f>E14</f>
        <v>0.9</v>
      </c>
      <c r="AI10" s="129" t="s">
        <v>145</v>
      </c>
      <c r="AJ10" s="147">
        <f>AB10</f>
        <v>0.9</v>
      </c>
    </row>
    <row r="11" spans="2:36" ht="24.95" customHeight="1" x14ac:dyDescent="0.35">
      <c r="B11" s="122"/>
      <c r="C11" s="144"/>
      <c r="D11" s="144"/>
      <c r="E11" s="229"/>
      <c r="F11" s="229"/>
      <c r="G11" s="143"/>
      <c r="H11" s="229"/>
      <c r="I11" s="229"/>
      <c r="J11" s="229"/>
      <c r="K11" s="229"/>
      <c r="L11" s="122"/>
      <c r="M11" s="122"/>
      <c r="AA11" s="129"/>
      <c r="AB11" s="129"/>
      <c r="AE11" s="129"/>
      <c r="AF11" s="129"/>
      <c r="AI11" s="129"/>
      <c r="AJ11" s="129"/>
    </row>
    <row r="12" spans="2:36" ht="24.95" customHeight="1" x14ac:dyDescent="0.35">
      <c r="B12" s="122"/>
      <c r="C12" s="372" t="s">
        <v>25</v>
      </c>
      <c r="D12" s="372"/>
      <c r="E12" s="141">
        <f>J7*J8</f>
        <v>16.25</v>
      </c>
      <c r="F12" s="142" t="s">
        <v>26</v>
      </c>
      <c r="G12" s="143"/>
      <c r="H12" s="372" t="s">
        <v>48</v>
      </c>
      <c r="I12" s="372"/>
      <c r="J12" s="375">
        <f>'Step 2 - Operating Conditions'!J13</f>
        <v>80</v>
      </c>
      <c r="K12" s="377" t="s">
        <v>35</v>
      </c>
      <c r="L12" s="122"/>
      <c r="M12" s="122"/>
      <c r="AA12" s="129"/>
      <c r="AB12" s="129"/>
      <c r="AE12" s="129"/>
      <c r="AF12" s="129"/>
      <c r="AI12" s="129"/>
      <c r="AJ12" s="129"/>
    </row>
    <row r="13" spans="2:36" ht="24.95" customHeight="1" x14ac:dyDescent="0.35">
      <c r="B13" s="122"/>
      <c r="C13" s="229"/>
      <c r="D13" s="229"/>
      <c r="E13" s="229"/>
      <c r="F13" s="229"/>
      <c r="G13" s="143"/>
      <c r="H13" s="372" t="s">
        <v>42</v>
      </c>
      <c r="I13" s="372"/>
      <c r="J13" s="376"/>
      <c r="K13" s="378"/>
      <c r="L13" s="122"/>
      <c r="M13" s="122"/>
      <c r="AA13" s="129" t="s">
        <v>146</v>
      </c>
      <c r="AB13" s="129">
        <f>2*((AB7*AB4/AB3)+(AB7/AB9))</f>
        <v>1.4831349206349209</v>
      </c>
      <c r="AE13" s="129" t="s">
        <v>146</v>
      </c>
      <c r="AF13" s="129">
        <f>2*((AF7*AF4/AF3)+(AF7/AF9))</f>
        <v>1.1115531195976742</v>
      </c>
      <c r="AI13" s="129" t="s">
        <v>146</v>
      </c>
      <c r="AJ13" s="129">
        <f>2*((AJ7*AJ4/AJ3)+(AJ7/AJ9))</f>
        <v>1.8127204585537922</v>
      </c>
    </row>
    <row r="14" spans="2:36" ht="24.95" customHeight="1" x14ac:dyDescent="0.35">
      <c r="B14" s="122"/>
      <c r="C14" s="372" t="s">
        <v>44</v>
      </c>
      <c r="D14" s="372"/>
      <c r="E14" s="146">
        <f>'Step 2 - Operating Conditions'!E15</f>
        <v>0.9</v>
      </c>
      <c r="F14" s="142" t="s">
        <v>29</v>
      </c>
      <c r="G14" s="143"/>
      <c r="H14" s="229"/>
      <c r="I14" s="229"/>
      <c r="J14" s="229"/>
      <c r="K14" s="229"/>
      <c r="L14" s="122"/>
      <c r="M14" s="122"/>
      <c r="T14" s="124" t="s">
        <v>127</v>
      </c>
      <c r="U14" s="148">
        <f>AF17</f>
        <v>1.1964854446923763</v>
      </c>
      <c r="AA14" s="129" t="s">
        <v>147</v>
      </c>
      <c r="AB14" s="138">
        <f>2*AB7*AB4*AB8/AB5</f>
        <v>0.10162029075969212</v>
      </c>
      <c r="AE14" s="129" t="s">
        <v>147</v>
      </c>
      <c r="AF14" s="138">
        <f>2*AF7*AF4*AF8/AF5</f>
        <v>0.10162029075969212</v>
      </c>
      <c r="AI14" s="129" t="s">
        <v>147</v>
      </c>
      <c r="AJ14" s="138">
        <f>2*AJ7*AJ4*AJ8/AJ5</f>
        <v>0.12420257759517925</v>
      </c>
    </row>
    <row r="15" spans="2:36" ht="24.95" customHeight="1" x14ac:dyDescent="0.35">
      <c r="B15" s="122"/>
      <c r="C15" s="229"/>
      <c r="D15" s="229"/>
      <c r="E15" s="229"/>
      <c r="F15" s="229"/>
      <c r="G15" s="143"/>
      <c r="H15" s="372" t="s">
        <v>43</v>
      </c>
      <c r="I15" s="372"/>
      <c r="J15" s="141">
        <f>'Step 2 - Operating Conditions'!J16</f>
        <v>7</v>
      </c>
      <c r="K15" s="142"/>
      <c r="L15" s="122"/>
      <c r="M15" s="122"/>
      <c r="AA15" s="129"/>
      <c r="AB15" s="129"/>
      <c r="AE15" s="129"/>
      <c r="AF15" s="129"/>
      <c r="AI15" s="129"/>
      <c r="AJ15" s="129"/>
    </row>
    <row r="16" spans="2:36" ht="24.95" customHeight="1" x14ac:dyDescent="0.35">
      <c r="B16" s="122"/>
      <c r="C16" s="372" t="s">
        <v>33</v>
      </c>
      <c r="D16" s="372"/>
      <c r="E16" s="141">
        <f>'Step 2 - Operating Conditions'!E17</f>
        <v>125</v>
      </c>
      <c r="F16" s="142" t="s">
        <v>34</v>
      </c>
      <c r="G16" s="143"/>
      <c r="H16" s="143"/>
      <c r="I16" s="229"/>
      <c r="J16" s="229"/>
      <c r="K16" s="143"/>
      <c r="L16" s="122"/>
      <c r="M16" s="122"/>
      <c r="AA16" s="129"/>
      <c r="AB16" s="129"/>
      <c r="AE16" s="129"/>
      <c r="AF16" s="129"/>
      <c r="AI16" s="129"/>
      <c r="AJ16" s="129"/>
    </row>
    <row r="17" spans="2:36" ht="24.95" customHeight="1" x14ac:dyDescent="0.35">
      <c r="B17" s="122"/>
      <c r="C17" s="229"/>
      <c r="D17" s="229"/>
      <c r="E17" s="229"/>
      <c r="F17" s="229"/>
      <c r="G17" s="143"/>
      <c r="H17" s="373" t="s">
        <v>68</v>
      </c>
      <c r="I17" s="374"/>
      <c r="J17" s="379">
        <f>'Step 2 - Operating Conditions'!J18</f>
        <v>0.01</v>
      </c>
      <c r="K17" s="381" t="s">
        <v>29</v>
      </c>
      <c r="L17" s="122"/>
      <c r="M17" s="122"/>
      <c r="T17" s="124" t="s">
        <v>125</v>
      </c>
      <c r="U17" s="124">
        <f>J26*'Step 1 - Device Parameters'!L8*'Step 3 - Component Selection'!D7</f>
        <v>1.162845393240648</v>
      </c>
      <c r="AA17" s="129" t="s">
        <v>148</v>
      </c>
      <c r="AB17" s="138">
        <f>(AB13/2)+SQRT((AB13^2/4)+AB14)</f>
        <v>1.5487493412844333</v>
      </c>
      <c r="AE17" s="129" t="s">
        <v>148</v>
      </c>
      <c r="AF17" s="138">
        <f>(AF13/2)+SQRT((AF13^2/4)+AF14)</f>
        <v>1.1964854446923763</v>
      </c>
      <c r="AI17" s="129" t="s">
        <v>148</v>
      </c>
      <c r="AJ17" s="138">
        <f>(AJ13/2)+SQRT((AJ13^2/4)+AJ14)</f>
        <v>1.878826908814065</v>
      </c>
    </row>
    <row r="18" spans="2:36" ht="24.95" customHeight="1" x14ac:dyDescent="0.35">
      <c r="B18" s="122"/>
      <c r="C18" s="383" t="s">
        <v>40</v>
      </c>
      <c r="D18" s="383"/>
      <c r="E18" s="149">
        <f>1000/E10</f>
        <v>20</v>
      </c>
      <c r="F18" s="229" t="s">
        <v>41</v>
      </c>
      <c r="G18" s="143"/>
      <c r="H18" s="384" t="s">
        <v>78</v>
      </c>
      <c r="I18" s="374"/>
      <c r="J18" s="380"/>
      <c r="K18" s="382"/>
      <c r="L18" s="122"/>
      <c r="M18" s="122"/>
      <c r="T18" s="124" t="s">
        <v>126</v>
      </c>
      <c r="U18" s="148">
        <f>U14*'Step 1 - Device Parameters'!L8*'Step 3 - Component Selection'!D7</f>
        <v>0.89835556364862756</v>
      </c>
      <c r="AA18" s="129"/>
      <c r="AB18" s="129"/>
      <c r="AE18" s="129"/>
      <c r="AF18" s="129"/>
      <c r="AI18" s="129"/>
      <c r="AJ18" s="129"/>
    </row>
    <row r="19" spans="2:36" ht="24.95" customHeight="1" x14ac:dyDescent="0.35">
      <c r="B19" s="122"/>
      <c r="C19" s="150"/>
      <c r="D19" s="150"/>
      <c r="E19" s="150"/>
      <c r="F19" s="150"/>
      <c r="G19" s="143"/>
      <c r="H19" s="373" t="s">
        <v>69</v>
      </c>
      <c r="I19" s="374"/>
      <c r="J19" s="141">
        <f>'Step 2 - Operating Conditions'!J20</f>
        <v>33</v>
      </c>
      <c r="K19" s="142" t="s">
        <v>71</v>
      </c>
      <c r="L19" s="122"/>
      <c r="M19" s="122"/>
      <c r="W19" s="124" t="s">
        <v>128</v>
      </c>
      <c r="X19" s="124" t="s">
        <v>129</v>
      </c>
      <c r="AA19" s="129"/>
      <c r="AB19" s="129"/>
      <c r="AE19" s="129"/>
      <c r="AF19" s="129"/>
      <c r="AI19" s="129"/>
      <c r="AJ19" s="129"/>
    </row>
    <row r="20" spans="2:36" ht="24.95" customHeight="1" x14ac:dyDescent="0.35">
      <c r="B20" s="122"/>
      <c r="C20" s="373" t="s">
        <v>77</v>
      </c>
      <c r="D20" s="374"/>
      <c r="E20" s="151">
        <f>E8*1.414</f>
        <v>452.47999999999996</v>
      </c>
      <c r="F20" s="142" t="s">
        <v>35</v>
      </c>
      <c r="G20" s="143"/>
      <c r="H20" s="373" t="s">
        <v>70</v>
      </c>
      <c r="I20" s="374"/>
      <c r="J20" s="152">
        <f>'Step 2 - Operating Conditions'!J21</f>
        <v>1.3712351512089194</v>
      </c>
      <c r="K20" s="142" t="s">
        <v>72</v>
      </c>
      <c r="L20" s="122"/>
      <c r="M20" s="122"/>
      <c r="W20" s="124">
        <f>1+SUM(W21:W25)</f>
        <v>3</v>
      </c>
      <c r="X20" s="124">
        <f>1+SUM(X21:X25)</f>
        <v>6</v>
      </c>
      <c r="AA20" s="129" t="s">
        <v>149</v>
      </c>
      <c r="AB20" s="138">
        <f>AB5*AB17/AB3</f>
        <v>2.3231240119266496E-6</v>
      </c>
      <c r="AE20" s="129" t="s">
        <v>149</v>
      </c>
      <c r="AF20" s="138">
        <f>AF5*AF17/AF3</f>
        <v>3.1731403236183955E-7</v>
      </c>
      <c r="AI20" s="129" t="s">
        <v>149</v>
      </c>
      <c r="AJ20" s="138">
        <f>AJ5*AJ17/AJ3</f>
        <v>2.8182403632210972E-6</v>
      </c>
    </row>
    <row r="21" spans="2:36" ht="24.95" customHeight="1" x14ac:dyDescent="0.35">
      <c r="B21" s="122"/>
      <c r="C21" s="143"/>
      <c r="D21" s="143"/>
      <c r="E21" s="145"/>
      <c r="F21" s="145"/>
      <c r="G21" s="143"/>
      <c r="H21" s="373" t="s">
        <v>122</v>
      </c>
      <c r="I21" s="374"/>
      <c r="J21" s="152">
        <f>Q26^2/(1000*J19)</f>
        <v>0.28306219889474965</v>
      </c>
      <c r="K21" s="377" t="s">
        <v>26</v>
      </c>
      <c r="L21" s="122"/>
      <c r="M21" s="122"/>
      <c r="P21" s="124" t="s">
        <v>116</v>
      </c>
      <c r="Q21" s="124">
        <f>J17*C41</f>
        <v>1.2</v>
      </c>
      <c r="T21" s="124">
        <f>U21+0.6</f>
        <v>2</v>
      </c>
      <c r="U21" s="124">
        <f>1.4*('Step 1 - Device Parameters'!L8/4)</f>
        <v>1.4</v>
      </c>
      <c r="V21" s="124">
        <v>2</v>
      </c>
      <c r="W21" s="124">
        <f>IF(U21&lt;$U$17,0,1)</f>
        <v>1</v>
      </c>
      <c r="X21" s="124">
        <f>IF($U$18&lt;U21,1,0)</f>
        <v>1</v>
      </c>
      <c r="AA21" s="129"/>
      <c r="AB21" s="129"/>
      <c r="AE21" s="129"/>
      <c r="AF21" s="129"/>
      <c r="AI21" s="129"/>
      <c r="AJ21" s="129"/>
    </row>
    <row r="22" spans="2:36" ht="24.95" customHeight="1" x14ac:dyDescent="0.35">
      <c r="B22" s="122"/>
      <c r="C22" s="153"/>
      <c r="D22" s="153"/>
      <c r="E22" s="150"/>
      <c r="F22" s="150"/>
      <c r="G22" s="143"/>
      <c r="H22" s="373" t="s">
        <v>123</v>
      </c>
      <c r="I22" s="374"/>
      <c r="J22" s="152">
        <f>Q40^2/(1000*J19)</f>
        <v>0.28306219889474965</v>
      </c>
      <c r="K22" s="378"/>
      <c r="L22" s="122"/>
      <c r="M22" s="122"/>
      <c r="P22" s="124" t="s">
        <v>117</v>
      </c>
      <c r="Q22" s="154">
        <f>J26</f>
        <v>1.5487493412844333</v>
      </c>
      <c r="T22" s="124">
        <f t="shared" ref="T22:T25" si="0">U22+0.6</f>
        <v>1.7999999999999998</v>
      </c>
      <c r="U22" s="124">
        <f>1.2*('Step 1 - Device Parameters'!L8/4)</f>
        <v>1.2</v>
      </c>
      <c r="V22" s="124">
        <v>3</v>
      </c>
      <c r="W22" s="124">
        <f t="shared" ref="W22:W25" si="1">IF(U22&lt;$U$17,0,1)</f>
        <v>1</v>
      </c>
      <c r="X22" s="124">
        <f t="shared" ref="X22:X25" si="2">IF($U$18&lt;U22,1,0)</f>
        <v>1</v>
      </c>
      <c r="AA22" s="129" t="s">
        <v>150</v>
      </c>
      <c r="AB22" s="129">
        <f>AB5*AB17/(AB9*AB4)</f>
        <v>5.3099977415466278E-6</v>
      </c>
      <c r="AE22" s="129" t="s">
        <v>150</v>
      </c>
      <c r="AF22" s="129">
        <f>AF5*AF17/(AF9*AF4)</f>
        <v>4.1022358103738613E-6</v>
      </c>
      <c r="AI22" s="129" t="s">
        <v>150</v>
      </c>
      <c r="AJ22" s="129">
        <f>AJ5*AJ17/(AJ9*AJ4)</f>
        <v>6.4416922587910798E-6</v>
      </c>
    </row>
    <row r="23" spans="2:36" ht="24.95" customHeight="1" x14ac:dyDescent="0.35">
      <c r="B23" s="122"/>
      <c r="C23" s="155"/>
      <c r="D23" s="155"/>
      <c r="E23" s="156"/>
      <c r="F23" s="156"/>
      <c r="G23" s="155"/>
      <c r="H23" s="155"/>
      <c r="I23" s="156"/>
      <c r="J23" s="156"/>
      <c r="K23" s="155"/>
      <c r="L23" s="122"/>
      <c r="M23" s="122"/>
      <c r="P23" s="124" t="s">
        <v>118</v>
      </c>
      <c r="Q23" s="124">
        <f>D26</f>
        <v>125.45770425911881</v>
      </c>
      <c r="T23" s="124">
        <f t="shared" si="0"/>
        <v>1.7000000000000002</v>
      </c>
      <c r="U23" s="124">
        <f>1.1*('Step 1 - Device Parameters'!L8/4)</f>
        <v>1.1000000000000001</v>
      </c>
      <c r="V23" s="124">
        <v>4</v>
      </c>
      <c r="W23" s="124">
        <f t="shared" si="1"/>
        <v>0</v>
      </c>
      <c r="X23" s="124">
        <f t="shared" si="2"/>
        <v>1</v>
      </c>
      <c r="AA23" s="129"/>
      <c r="AB23" s="129"/>
      <c r="AE23" s="129"/>
      <c r="AF23" s="129"/>
      <c r="AI23" s="129"/>
      <c r="AJ23" s="129"/>
    </row>
    <row r="24" spans="2:36" ht="36" customHeight="1" x14ac:dyDescent="0.35">
      <c r="B24" s="122"/>
      <c r="C24" s="385" t="s">
        <v>45</v>
      </c>
      <c r="D24" s="385"/>
      <c r="E24" s="385"/>
      <c r="F24" s="385"/>
      <c r="G24" s="385"/>
      <c r="H24" s="385"/>
      <c r="I24" s="385"/>
      <c r="J24" s="385"/>
      <c r="K24" s="385"/>
      <c r="L24" s="385"/>
      <c r="M24" s="122"/>
      <c r="P24" s="124" t="s">
        <v>119</v>
      </c>
      <c r="Q24" s="124">
        <f>J19*Q22^2*0.5*Q23*Q21</f>
        <v>5958.3333333333348</v>
      </c>
      <c r="T24" s="124">
        <f t="shared" si="0"/>
        <v>1.6</v>
      </c>
      <c r="U24" s="124">
        <f>1*('Step 1 - Device Parameters'!L8/4)</f>
        <v>1</v>
      </c>
      <c r="V24" s="124">
        <v>5</v>
      </c>
      <c r="W24" s="124">
        <f t="shared" si="1"/>
        <v>0</v>
      </c>
      <c r="X24" s="124">
        <f t="shared" si="2"/>
        <v>1</v>
      </c>
      <c r="AA24" s="129"/>
      <c r="AB24" s="129"/>
      <c r="AE24" s="129"/>
      <c r="AF24" s="129"/>
      <c r="AI24" s="129"/>
      <c r="AJ24" s="129"/>
    </row>
    <row r="25" spans="2:36" s="160" customFormat="1" ht="51.95" customHeight="1" x14ac:dyDescent="0.35">
      <c r="B25" s="157"/>
      <c r="C25" s="158" t="s">
        <v>46</v>
      </c>
      <c r="D25" s="158" t="s">
        <v>47</v>
      </c>
      <c r="E25" s="158" t="s">
        <v>51</v>
      </c>
      <c r="F25" s="158" t="s">
        <v>52</v>
      </c>
      <c r="G25" s="158" t="s">
        <v>53</v>
      </c>
      <c r="H25" s="159" t="s">
        <v>54</v>
      </c>
      <c r="I25" s="224" t="s">
        <v>49</v>
      </c>
      <c r="J25" s="224" t="s">
        <v>50</v>
      </c>
      <c r="K25" s="224" t="s">
        <v>55</v>
      </c>
      <c r="L25" s="224" t="s">
        <v>56</v>
      </c>
      <c r="M25" s="157"/>
      <c r="P25" s="160" t="s">
        <v>121</v>
      </c>
      <c r="Q25" s="160">
        <f>J7*J15</f>
        <v>35</v>
      </c>
      <c r="T25" s="124">
        <f t="shared" si="0"/>
        <v>1.5</v>
      </c>
      <c r="U25" s="160">
        <f>0.9*('Step 1 - Device Parameters'!L8/4)</f>
        <v>0.9</v>
      </c>
      <c r="V25" s="160">
        <v>6</v>
      </c>
      <c r="W25" s="124">
        <f t="shared" si="1"/>
        <v>0</v>
      </c>
      <c r="X25" s="124">
        <f t="shared" si="2"/>
        <v>1</v>
      </c>
      <c r="Y25" s="124"/>
      <c r="AA25" s="129" t="s">
        <v>151</v>
      </c>
      <c r="AB25" s="138">
        <f>AB8+AB20+AB22</f>
        <v>7.9708137966131778E-6</v>
      </c>
      <c r="AE25" s="129" t="s">
        <v>151</v>
      </c>
      <c r="AF25" s="138">
        <f>AF8+AF20+AF22</f>
        <v>4.757241885875601E-6</v>
      </c>
      <c r="AI25" s="129" t="s">
        <v>151</v>
      </c>
      <c r="AJ25" s="138">
        <f>AJ8+AJ20+AJ22</f>
        <v>9.5976246651520765E-6</v>
      </c>
    </row>
    <row r="26" spans="2:36" s="165" customFormat="1" ht="24.95" customHeight="1" x14ac:dyDescent="0.35">
      <c r="B26" s="161"/>
      <c r="C26" s="162">
        <f>AB30</f>
        <v>0.2914538052455512</v>
      </c>
      <c r="D26" s="226">
        <f>AB26</f>
        <v>125.45770425911881</v>
      </c>
      <c r="E26" s="227">
        <f>AB20*1000000</f>
        <v>2.3231240119266494</v>
      </c>
      <c r="F26" s="226">
        <f>E7*1.414</f>
        <v>141.4</v>
      </c>
      <c r="G26" s="226">
        <f>'Vmin-other'!E13</f>
        <v>140.02390492005804</v>
      </c>
      <c r="H26" s="163">
        <f>700*E18*E12/(E14*(F26^2-G26^2))</f>
        <v>652.72382426801016</v>
      </c>
      <c r="I26" s="227">
        <f>0.577*J26*SQRT(C26)</f>
        <v>0.48243833812879028</v>
      </c>
      <c r="J26" s="227">
        <f>AB17</f>
        <v>1.5487493412844333</v>
      </c>
      <c r="K26" s="225">
        <f>F26+Q26</f>
        <v>238.0491208626687</v>
      </c>
      <c r="L26" s="225">
        <f>J7+F26/J15</f>
        <v>25.2</v>
      </c>
      <c r="M26" s="164"/>
      <c r="P26" s="165" t="s">
        <v>120</v>
      </c>
      <c r="Q26" s="165">
        <f>(Q25/2)+SQRT(Q24+(Q25^2*0.25))</f>
        <v>96.649120862668681</v>
      </c>
      <c r="W26" s="124"/>
      <c r="X26" s="124">
        <f t="shared" ref="X26" si="3">IF(AND(T26&gt;U$18,U$18&gt;U26),1,0)</f>
        <v>0</v>
      </c>
      <c r="Y26" s="124"/>
      <c r="AA26" s="129" t="s">
        <v>152</v>
      </c>
      <c r="AB26" s="130">
        <f>0.001/AB25</f>
        <v>125.45770425911881</v>
      </c>
      <c r="AE26" s="129" t="s">
        <v>152</v>
      </c>
      <c r="AF26" s="130">
        <f>0.001/AF25</f>
        <v>210.20583438673384</v>
      </c>
      <c r="AI26" s="129" t="s">
        <v>152</v>
      </c>
      <c r="AJ26" s="130">
        <f>0.001/AJ25</f>
        <v>104.19244707817033</v>
      </c>
    </row>
    <row r="27" spans="2:36" ht="51.95" customHeight="1" x14ac:dyDescent="0.35">
      <c r="B27" s="122"/>
      <c r="C27" s="166"/>
      <c r="D27" s="166"/>
      <c r="E27" s="167" t="str">
        <f>IF(E26&gt;'Step 1 - Device Parameters'!F8,"Maximum On Time Reached","")</f>
        <v/>
      </c>
      <c r="F27" s="168"/>
      <c r="G27" s="166"/>
      <c r="H27" s="166"/>
      <c r="I27" s="168"/>
      <c r="J27" s="168"/>
      <c r="K27" s="166"/>
      <c r="L27" s="166"/>
      <c r="M27" s="122"/>
      <c r="T27" s="370" t="s">
        <v>135</v>
      </c>
      <c r="U27" s="370"/>
      <c r="V27" s="124">
        <f>1/(6.26*SQRT(C41*(I36+J36)*0.000000000000000001))</f>
        <v>1480638.9731630685</v>
      </c>
      <c r="AA27" s="129"/>
      <c r="AB27" s="129"/>
      <c r="AE27" s="129"/>
      <c r="AF27" s="129"/>
      <c r="AI27" s="129"/>
      <c r="AJ27" s="129"/>
    </row>
    <row r="28" spans="2:36" ht="36" customHeight="1" x14ac:dyDescent="0.35">
      <c r="B28" s="122"/>
      <c r="C28" s="385" t="s">
        <v>59</v>
      </c>
      <c r="D28" s="385"/>
      <c r="E28" s="385"/>
      <c r="F28" s="385"/>
      <c r="G28" s="385"/>
      <c r="H28" s="385"/>
      <c r="I28" s="385"/>
      <c r="J28" s="385"/>
      <c r="K28" s="385"/>
      <c r="L28" s="385"/>
      <c r="M28" s="122"/>
      <c r="T28" s="370" t="s">
        <v>136</v>
      </c>
      <c r="U28" s="370"/>
      <c r="V28" s="124">
        <f>(0.5+H30-1)/V27</f>
        <v>3.3769204313989988E-7</v>
      </c>
      <c r="W28" s="124" t="s">
        <v>138</v>
      </c>
      <c r="AA28" s="129" t="s">
        <v>153</v>
      </c>
      <c r="AB28" s="138">
        <f>0.5*(1/AB25)*AB5*AB17^2</f>
        <v>18.055555555555561</v>
      </c>
      <c r="AE28" s="129" t="s">
        <v>153</v>
      </c>
      <c r="AF28" s="138">
        <f>0.5*(1/AF25)*AF5*AF17^2</f>
        <v>18.055555555555554</v>
      </c>
      <c r="AI28" s="129" t="s">
        <v>153</v>
      </c>
      <c r="AJ28" s="138">
        <f>0.5*(1/AJ25)*AJ5*AJ17^2</f>
        <v>22.067901234567906</v>
      </c>
    </row>
    <row r="29" spans="2:36" ht="51.95" customHeight="1" x14ac:dyDescent="0.35">
      <c r="B29" s="122"/>
      <c r="C29" s="158" t="s">
        <v>46</v>
      </c>
      <c r="D29" s="158" t="s">
        <v>47</v>
      </c>
      <c r="E29" s="158" t="s">
        <v>51</v>
      </c>
      <c r="F29" s="158" t="s">
        <v>52</v>
      </c>
      <c r="G29" s="158" t="s">
        <v>53</v>
      </c>
      <c r="H29" s="169" t="s">
        <v>171</v>
      </c>
      <c r="I29" s="224" t="s">
        <v>49</v>
      </c>
      <c r="J29" s="224" t="s">
        <v>50</v>
      </c>
      <c r="K29" s="224" t="s">
        <v>55</v>
      </c>
      <c r="L29" s="224" t="s">
        <v>56</v>
      </c>
      <c r="M29" s="157"/>
      <c r="P29" s="124" t="s">
        <v>116</v>
      </c>
      <c r="Q29" s="124">
        <f>Q21</f>
        <v>1.2</v>
      </c>
      <c r="AA29" s="129"/>
      <c r="AB29" s="129"/>
      <c r="AE29" s="129"/>
      <c r="AF29" s="129"/>
      <c r="AI29" s="129"/>
      <c r="AJ29" s="129"/>
    </row>
    <row r="30" spans="2:36" s="137" customFormat="1" ht="24.95" customHeight="1" x14ac:dyDescent="0.35">
      <c r="B30" s="170"/>
      <c r="C30" s="162">
        <f>AF30</f>
        <v>6.6701260935239551E-2</v>
      </c>
      <c r="D30" s="226">
        <f>AF26</f>
        <v>210.20583438673384</v>
      </c>
      <c r="E30" s="227">
        <f>AF20*1000000</f>
        <v>0.31731403236183953</v>
      </c>
      <c r="F30" s="226">
        <f>E8*1.414</f>
        <v>452.47999999999996</v>
      </c>
      <c r="G30" s="171">
        <f>SQRT(F30^2-((1000*E12*E18)/(H26*E14)))</f>
        <v>451.86824759477565</v>
      </c>
      <c r="H30" s="270">
        <v>1</v>
      </c>
      <c r="I30" s="172">
        <f>0.577*J30*SQRT(C30)</f>
        <v>0.17829955321567828</v>
      </c>
      <c r="J30" s="227">
        <f>AF17</f>
        <v>1.1964854446923763</v>
      </c>
      <c r="K30" s="225">
        <f>F30+Q40</f>
        <v>549.12912086266863</v>
      </c>
      <c r="L30" s="225">
        <f>J7+F30/J15</f>
        <v>69.64</v>
      </c>
      <c r="M30" s="164"/>
      <c r="P30" s="124" t="s">
        <v>117</v>
      </c>
      <c r="Q30" s="173">
        <f>J30</f>
        <v>1.1964854446923763</v>
      </c>
      <c r="AA30" s="129" t="s">
        <v>154</v>
      </c>
      <c r="AB30" s="174">
        <f>AB20/AB25</f>
        <v>0.2914538052455512</v>
      </c>
      <c r="AE30" s="129" t="s">
        <v>154</v>
      </c>
      <c r="AF30" s="174">
        <f>AF20/AF25</f>
        <v>6.6701260935239551E-2</v>
      </c>
      <c r="AI30" s="129" t="s">
        <v>154</v>
      </c>
      <c r="AJ30" s="174">
        <f>AJ20/AJ25</f>
        <v>0.29363935989847773</v>
      </c>
    </row>
    <row r="31" spans="2:36" s="137" customFormat="1" ht="51.95" customHeight="1" x14ac:dyDescent="0.35">
      <c r="B31" s="170"/>
      <c r="C31" s="175"/>
      <c r="D31" s="176"/>
      <c r="E31" s="177"/>
      <c r="F31" s="176"/>
      <c r="G31" s="178"/>
      <c r="H31" s="179" t="s">
        <v>170</v>
      </c>
      <c r="I31" s="386" t="s">
        <v>262</v>
      </c>
      <c r="J31" s="387"/>
      <c r="K31" s="387"/>
      <c r="L31" s="387"/>
      <c r="M31" s="164"/>
      <c r="P31" s="124"/>
      <c r="Q31" s="173"/>
      <c r="AA31" s="129"/>
      <c r="AB31" s="174"/>
      <c r="AE31" s="129"/>
      <c r="AF31" s="174"/>
      <c r="AI31" s="129"/>
      <c r="AJ31" s="174"/>
    </row>
    <row r="32" spans="2:36" s="137" customFormat="1" ht="24.95" customHeight="1" x14ac:dyDescent="0.35">
      <c r="B32" s="170"/>
      <c r="C32" s="175"/>
      <c r="D32" s="176"/>
      <c r="E32" s="177"/>
      <c r="F32" s="176"/>
      <c r="G32" s="178"/>
      <c r="H32" s="180">
        <f>X20</f>
        <v>6</v>
      </c>
      <c r="I32" s="388"/>
      <c r="J32" s="389"/>
      <c r="K32" s="389"/>
      <c r="L32" s="389"/>
      <c r="M32" s="164"/>
      <c r="P32" s="124"/>
      <c r="Q32" s="173"/>
      <c r="AA32" s="129"/>
      <c r="AB32" s="174"/>
      <c r="AE32" s="129"/>
      <c r="AF32" s="174"/>
      <c r="AI32" s="129"/>
      <c r="AJ32" s="174"/>
    </row>
    <row r="33" spans="2:17" s="137" customFormat="1" ht="24.95" customHeight="1" x14ac:dyDescent="0.35">
      <c r="B33" s="170"/>
      <c r="C33" s="170"/>
      <c r="D33" s="170"/>
      <c r="E33" s="161"/>
      <c r="F33" s="181" t="str">
        <f>IF(F30&gt;700,"HV Startup Voltage Exceeded","")</f>
        <v/>
      </c>
      <c r="G33" s="170"/>
      <c r="H33" s="170"/>
      <c r="I33" s="161"/>
      <c r="J33" s="161"/>
      <c r="K33" s="170"/>
      <c r="L33" s="170"/>
      <c r="M33" s="170"/>
      <c r="P33" s="124" t="s">
        <v>118</v>
      </c>
      <c r="Q33" s="182">
        <f>D30</f>
        <v>210.20583438673384</v>
      </c>
    </row>
    <row r="34" spans="2:17" s="137" customFormat="1" ht="36" customHeight="1" x14ac:dyDescent="0.35">
      <c r="B34" s="170"/>
      <c r="C34" s="385" t="s">
        <v>130</v>
      </c>
      <c r="D34" s="385"/>
      <c r="E34" s="385"/>
      <c r="F34" s="385"/>
      <c r="G34" s="385"/>
      <c r="H34" s="385"/>
      <c r="I34" s="385"/>
      <c r="J34" s="385"/>
      <c r="K34" s="385"/>
      <c r="L34" s="385"/>
      <c r="M34" s="170"/>
      <c r="P34" s="124"/>
      <c r="Q34" s="182"/>
    </row>
    <row r="35" spans="2:17" s="137" customFormat="1" ht="84" x14ac:dyDescent="0.35">
      <c r="B35" s="170"/>
      <c r="C35" s="224" t="s">
        <v>131</v>
      </c>
      <c r="D35" s="224" t="s">
        <v>132</v>
      </c>
      <c r="E35" s="224" t="s">
        <v>133</v>
      </c>
      <c r="F35" s="183" t="s">
        <v>259</v>
      </c>
      <c r="G35" s="224" t="s">
        <v>260</v>
      </c>
      <c r="H35" s="224" t="s">
        <v>261</v>
      </c>
      <c r="I35" s="224" t="s">
        <v>258</v>
      </c>
      <c r="J35" s="224" t="s">
        <v>137</v>
      </c>
      <c r="K35" s="159"/>
      <c r="L35" s="159"/>
      <c r="M35" s="170"/>
      <c r="P35" s="124"/>
      <c r="Q35" s="182"/>
    </row>
    <row r="36" spans="2:17" s="137" customFormat="1" ht="24.95" customHeight="1" x14ac:dyDescent="0.35">
      <c r="B36" s="170"/>
      <c r="C36" s="228">
        <f>'Step 2 - Operating Conditions'!C39</f>
        <v>0.38500000000000001</v>
      </c>
      <c r="D36" s="227">
        <f>I26^2*C36</f>
        <v>8.9607498787140555E-2</v>
      </c>
      <c r="E36" s="227">
        <f>I30^2*C36</f>
        <v>1.2239431310610539E-2</v>
      </c>
      <c r="F36" s="184">
        <f>'Step 2 - Operating Conditions'!F39</f>
        <v>15</v>
      </c>
      <c r="G36" s="162">
        <f>'Step 2 - Operating Conditions'!G39</f>
        <v>0.9</v>
      </c>
      <c r="H36" s="226">
        <f>K30/G36</f>
        <v>610.14346762518733</v>
      </c>
      <c r="I36" s="227">
        <f>'Step 2 - Operating Conditions'!I39</f>
        <v>47</v>
      </c>
      <c r="J36" s="227">
        <f>'Step 2 - Operating Conditions'!J39</f>
        <v>50</v>
      </c>
      <c r="K36" s="191"/>
      <c r="L36" s="191"/>
      <c r="M36" s="170"/>
      <c r="P36" s="124"/>
      <c r="Q36" s="182"/>
    </row>
    <row r="37" spans="2:17" s="137" customFormat="1" ht="24.95" customHeight="1" x14ac:dyDescent="0.35">
      <c r="B37" s="170"/>
      <c r="C37" s="170"/>
      <c r="D37" s="170"/>
      <c r="E37" s="161"/>
      <c r="F37" s="181"/>
      <c r="G37" s="170"/>
      <c r="H37" s="170"/>
      <c r="I37" s="161"/>
      <c r="J37" s="161"/>
      <c r="K37" s="170"/>
      <c r="L37" s="170"/>
      <c r="M37" s="170"/>
      <c r="P37" s="124"/>
      <c r="Q37" s="182"/>
    </row>
    <row r="38" spans="2:17" x14ac:dyDescent="0.35">
      <c r="B38" s="122"/>
      <c r="C38" s="122"/>
      <c r="D38" s="122"/>
      <c r="E38" s="123"/>
      <c r="F38" s="123"/>
      <c r="G38" s="122"/>
      <c r="H38" s="122"/>
      <c r="I38" s="123"/>
      <c r="J38" s="123"/>
      <c r="K38" s="122"/>
      <c r="L38" s="122"/>
      <c r="M38" s="122"/>
      <c r="P38" s="124" t="s">
        <v>119</v>
      </c>
      <c r="Q38" s="124">
        <f>J19*Q30^2*0.5*Q33*Q29</f>
        <v>5958.3333333333339</v>
      </c>
    </row>
    <row r="39" spans="2:17" ht="36" customHeight="1" x14ac:dyDescent="0.35">
      <c r="B39" s="122"/>
      <c r="C39" s="385" t="s">
        <v>60</v>
      </c>
      <c r="D39" s="385"/>
      <c r="E39" s="385"/>
      <c r="F39" s="385"/>
      <c r="G39" s="385"/>
      <c r="H39" s="385"/>
      <c r="I39" s="385"/>
      <c r="J39" s="385"/>
      <c r="K39" s="385"/>
      <c r="L39" s="185"/>
      <c r="M39" s="122"/>
      <c r="P39" s="160" t="s">
        <v>121</v>
      </c>
      <c r="Q39" s="124">
        <f>Q25</f>
        <v>35</v>
      </c>
    </row>
    <row r="40" spans="2:17" ht="66.75" customHeight="1" x14ac:dyDescent="0.35">
      <c r="B40" s="122"/>
      <c r="C40" s="186" t="s">
        <v>64</v>
      </c>
      <c r="D40" s="224" t="s">
        <v>256</v>
      </c>
      <c r="E40" s="224" t="s">
        <v>81</v>
      </c>
      <c r="F40" s="224" t="s">
        <v>80</v>
      </c>
      <c r="G40" s="224" t="s">
        <v>62</v>
      </c>
      <c r="H40" s="390" t="s">
        <v>63</v>
      </c>
      <c r="I40" s="390"/>
      <c r="J40" s="224" t="s">
        <v>257</v>
      </c>
      <c r="K40" s="122"/>
      <c r="L40" s="122"/>
      <c r="M40" s="122"/>
      <c r="P40" s="165" t="s">
        <v>120</v>
      </c>
      <c r="Q40" s="165">
        <f>(Q39/2)+SQRT(Q38+(Q39^2*0.25))</f>
        <v>96.649120862668681</v>
      </c>
    </row>
    <row r="41" spans="2:17" x14ac:dyDescent="0.35">
      <c r="B41" s="122"/>
      <c r="C41" s="391">
        <f>'Step 2 - Operating Conditions'!C44</f>
        <v>120</v>
      </c>
      <c r="D41" s="392">
        <f>AJ17</f>
        <v>1.878826908814065</v>
      </c>
      <c r="E41" s="392">
        <f>I26</f>
        <v>0.48243833812879028</v>
      </c>
      <c r="F41" s="392">
        <f>J26*G41*0.577*SQRT(1-C26)</f>
        <v>5.2654934012055197</v>
      </c>
      <c r="G41" s="393">
        <f>J15</f>
        <v>7</v>
      </c>
      <c r="H41" s="158" t="s">
        <v>66</v>
      </c>
      <c r="I41" s="158" t="s">
        <v>67</v>
      </c>
      <c r="J41" s="375">
        <f>500*C36</f>
        <v>192.5</v>
      </c>
      <c r="K41" s="122"/>
      <c r="L41" s="122"/>
      <c r="M41" s="122"/>
    </row>
    <row r="42" spans="2:17" x14ac:dyDescent="0.35">
      <c r="B42" s="122"/>
      <c r="C42" s="391"/>
      <c r="D42" s="392"/>
      <c r="E42" s="392"/>
      <c r="F42" s="392"/>
      <c r="G42" s="393"/>
      <c r="H42" s="225">
        <f>G41*J7/28</f>
        <v>1.25</v>
      </c>
      <c r="I42" s="225">
        <f>G41*J7/10.2</f>
        <v>3.4313725490196081</v>
      </c>
      <c r="J42" s="376"/>
      <c r="K42" s="122"/>
      <c r="L42" s="122"/>
      <c r="M42" s="122"/>
    </row>
    <row r="43" spans="2:17" ht="36" customHeight="1" x14ac:dyDescent="0.5">
      <c r="B43" s="122"/>
      <c r="C43" s="394" t="s">
        <v>65</v>
      </c>
      <c r="D43" s="394"/>
      <c r="E43" s="394"/>
      <c r="F43" s="394"/>
      <c r="G43" s="394"/>
      <c r="H43" s="394"/>
      <c r="I43" s="394"/>
      <c r="J43" s="394"/>
      <c r="K43" s="394"/>
      <c r="L43" s="185"/>
      <c r="M43" s="122"/>
    </row>
    <row r="44" spans="2:17" ht="63" x14ac:dyDescent="0.35">
      <c r="B44" s="122"/>
      <c r="C44" s="189" t="s">
        <v>64</v>
      </c>
      <c r="D44" s="190" t="s">
        <v>61</v>
      </c>
      <c r="E44" s="224" t="s">
        <v>75</v>
      </c>
      <c r="F44" s="224" t="s">
        <v>76</v>
      </c>
      <c r="G44" s="224" t="s">
        <v>62</v>
      </c>
      <c r="H44" s="390" t="s">
        <v>63</v>
      </c>
      <c r="I44" s="390"/>
      <c r="J44" s="224" t="s">
        <v>83</v>
      </c>
      <c r="K44" s="224" t="s">
        <v>82</v>
      </c>
      <c r="L44" s="122"/>
      <c r="M44" s="122"/>
    </row>
    <row r="45" spans="2:17" x14ac:dyDescent="0.35">
      <c r="B45" s="122"/>
      <c r="C45" s="395">
        <v>300</v>
      </c>
      <c r="D45" s="397">
        <v>2.82</v>
      </c>
      <c r="E45" s="399">
        <f>'Step 2 - Operating Conditions'!E50</f>
        <v>200</v>
      </c>
      <c r="F45" s="399">
        <f>'Step 2 - Operating Conditions'!F50</f>
        <v>5.2369851199999999</v>
      </c>
      <c r="G45" s="399">
        <f>'Step 2 - Operating Conditions'!G50</f>
        <v>7</v>
      </c>
      <c r="H45" s="158" t="s">
        <v>66</v>
      </c>
      <c r="I45" s="158" t="s">
        <v>67</v>
      </c>
      <c r="J45" s="401">
        <f>J7*G45/H47</f>
        <v>5</v>
      </c>
      <c r="K45" s="399">
        <f>28*H47/G45</f>
        <v>28</v>
      </c>
      <c r="L45" s="122"/>
      <c r="M45" s="122"/>
    </row>
    <row r="46" spans="2:17" x14ac:dyDescent="0.35">
      <c r="B46" s="122"/>
      <c r="C46" s="396"/>
      <c r="D46" s="398"/>
      <c r="E46" s="400"/>
      <c r="F46" s="400"/>
      <c r="G46" s="400"/>
      <c r="H46" s="187">
        <f>G45*H42/G41</f>
        <v>1.25</v>
      </c>
      <c r="I46" s="187">
        <f>I42*G45/G41</f>
        <v>3.4313725490196085</v>
      </c>
      <c r="J46" s="401"/>
      <c r="K46" s="400"/>
      <c r="L46" s="122"/>
      <c r="M46" s="122"/>
    </row>
    <row r="47" spans="2:17" ht="21" customHeight="1" x14ac:dyDescent="0.35">
      <c r="B47" s="122"/>
      <c r="C47" s="155"/>
      <c r="D47" s="155"/>
      <c r="E47" s="406" t="s">
        <v>73</v>
      </c>
      <c r="F47" s="406" t="s">
        <v>74</v>
      </c>
      <c r="G47" s="404" t="str">
        <f>IF(G41&lt;&gt;G45,"Updated Target Turns Ratio to see actual operating conditions","")</f>
        <v/>
      </c>
      <c r="H47" s="409">
        <f>'Step 2 - Operating Conditions'!H52:I52</f>
        <v>7</v>
      </c>
      <c r="I47" s="410"/>
      <c r="J47" s="155"/>
      <c r="K47" s="155"/>
      <c r="L47" s="122"/>
      <c r="M47" s="122"/>
    </row>
    <row r="48" spans="2:17" ht="42" customHeight="1" x14ac:dyDescent="0.35">
      <c r="B48" s="122"/>
      <c r="C48" s="155"/>
      <c r="D48" s="155"/>
      <c r="E48" s="407"/>
      <c r="F48" s="407"/>
      <c r="G48" s="408"/>
      <c r="H48" s="411" t="str">
        <f>IF(H47&lt;H46,"Vcc too High","")</f>
        <v/>
      </c>
      <c r="I48" s="411" t="str">
        <f>IF(H47&gt;I46,"Vcc too Low","")</f>
        <v>Vcc too Low</v>
      </c>
      <c r="J48" s="402"/>
      <c r="K48" s="404" t="str">
        <f>IF(H47&lt;H46,"Warning: Vout_OVP less than Vout","")</f>
        <v/>
      </c>
      <c r="L48" s="122"/>
      <c r="M48" s="122"/>
    </row>
    <row r="49" spans="2:13" x14ac:dyDescent="0.35">
      <c r="B49" s="122"/>
      <c r="C49" s="155"/>
      <c r="D49" s="155"/>
      <c r="E49" s="152">
        <f>E41^2*E45*0.001</f>
        <v>4.6549350019293799E-2</v>
      </c>
      <c r="F49" s="152">
        <f>F41^2*F45*0.001</f>
        <v>0.14519761595611239</v>
      </c>
      <c r="G49" s="405"/>
      <c r="H49" s="412"/>
      <c r="I49" s="412"/>
      <c r="J49" s="403"/>
      <c r="K49" s="405"/>
      <c r="L49" s="122"/>
      <c r="M49" s="122"/>
    </row>
    <row r="50" spans="2:13" x14ac:dyDescent="0.35">
      <c r="B50" s="122"/>
      <c r="C50" s="122"/>
      <c r="D50" s="122"/>
      <c r="E50" s="123"/>
      <c r="F50" s="123"/>
      <c r="G50" s="122"/>
      <c r="H50" s="122"/>
      <c r="I50" s="122"/>
      <c r="J50" s="122"/>
      <c r="K50" s="122"/>
      <c r="L50" s="122"/>
      <c r="M50" s="122"/>
    </row>
    <row r="51" spans="2:13" x14ac:dyDescent="0.35">
      <c r="B51" s="122"/>
      <c r="C51" s="122"/>
      <c r="D51" s="122"/>
      <c r="E51" s="123"/>
      <c r="F51" s="123"/>
      <c r="G51" s="122"/>
      <c r="H51" s="122"/>
      <c r="I51" s="122"/>
      <c r="J51" s="122"/>
      <c r="K51" s="122"/>
      <c r="L51" s="122"/>
      <c r="M51" s="122"/>
    </row>
    <row r="52" spans="2:13" x14ac:dyDescent="0.35">
      <c r="I52" s="124"/>
      <c r="J52" s="124"/>
    </row>
  </sheetData>
  <mergeCells count="60">
    <mergeCell ref="J48:J49"/>
    <mergeCell ref="K48:K49"/>
    <mergeCell ref="E47:E48"/>
    <mergeCell ref="F47:F48"/>
    <mergeCell ref="G47:G49"/>
    <mergeCell ref="H47:I47"/>
    <mergeCell ref="H48:H49"/>
    <mergeCell ref="I48:I49"/>
    <mergeCell ref="J41:J42"/>
    <mergeCell ref="C43:K43"/>
    <mergeCell ref="H44:I44"/>
    <mergeCell ref="C45:C46"/>
    <mergeCell ref="D45:D46"/>
    <mergeCell ref="E45:E46"/>
    <mergeCell ref="F45:F46"/>
    <mergeCell ref="G45:G46"/>
    <mergeCell ref="J45:J46"/>
    <mergeCell ref="K45:K46"/>
    <mergeCell ref="H40:I40"/>
    <mergeCell ref="C41:C42"/>
    <mergeCell ref="D41:D42"/>
    <mergeCell ref="E41:E42"/>
    <mergeCell ref="F41:F42"/>
    <mergeCell ref="G41:G42"/>
    <mergeCell ref="T27:U27"/>
    <mergeCell ref="C28:L28"/>
    <mergeCell ref="T28:U28"/>
    <mergeCell ref="I31:L32"/>
    <mergeCell ref="C34:L34"/>
    <mergeCell ref="C39:K39"/>
    <mergeCell ref="C20:D20"/>
    <mergeCell ref="H20:I20"/>
    <mergeCell ref="H21:I21"/>
    <mergeCell ref="K21:K22"/>
    <mergeCell ref="H22:I22"/>
    <mergeCell ref="C24:L24"/>
    <mergeCell ref="H19:I19"/>
    <mergeCell ref="J12:J13"/>
    <mergeCell ref="K12:K13"/>
    <mergeCell ref="H13:I13"/>
    <mergeCell ref="C14:D14"/>
    <mergeCell ref="H15:I15"/>
    <mergeCell ref="C16:D16"/>
    <mergeCell ref="H17:I17"/>
    <mergeCell ref="J17:J18"/>
    <mergeCell ref="K17:K18"/>
    <mergeCell ref="C18:D18"/>
    <mergeCell ref="H18:I18"/>
    <mergeCell ref="C8:D8"/>
    <mergeCell ref="H8:I8"/>
    <mergeCell ref="C10:D10"/>
    <mergeCell ref="H10:I10"/>
    <mergeCell ref="C12:D12"/>
    <mergeCell ref="H12:I12"/>
    <mergeCell ref="C2:K2"/>
    <mergeCell ref="AA2:AB2"/>
    <mergeCell ref="AE2:AF2"/>
    <mergeCell ref="C5:K5"/>
    <mergeCell ref="C7:D7"/>
    <mergeCell ref="H7:I7"/>
  </mergeCells>
  <dataValidations count="19">
    <dataValidation type="decimal" errorStyle="warning" allowBlank="1" showInputMessage="1" showErrorMessage="1" promptTitle="MOSFET Derating" sqref="G36">
      <formula1>0</formula1>
      <formula2>1</formula2>
    </dataValidation>
    <dataValidation type="decimal" errorStyle="warning" operator="greaterThan" allowBlank="1" showInputMessage="1" showErrorMessage="1" errorTitle="Snubber Capacitor in nF" error="Out of Range" promptTitle="Snubber Capacitor in nF" prompt="Snubber Capacitor in nF" sqref="J20">
      <formula1>0</formula1>
    </dataValidation>
    <dataValidation type="decimal" errorStyle="warning" operator="greaterThan" allowBlank="1" showInputMessage="1" showErrorMessage="1" error="Out of Range" promptTitle="Snubber Resistor Value" prompt="Snubber Resistor Value in kOhms" sqref="J19">
      <formula1>0</formula1>
    </dataValidation>
    <dataValidation type="decimal" errorStyle="warning" operator="greaterThan" allowBlank="1" showInputMessage="1" showErrorMessage="1" errorTitle="Percent Leakage Inductance" error="Out of Range" promptTitle="Percent Leakage Inductance" prompt="Percent Leakage Inductance typical 1%-5%" sqref="J17:J18">
      <formula1>0</formula1>
    </dataValidation>
    <dataValidation type="decimal" errorStyle="warning" operator="greaterThan" allowBlank="1" showInputMessage="1" showErrorMessage="1" errorTitle="Pri-Sec Target Turns Ratio" error="Pri-Sec Target Turns Ratio" promptTitle="Pri-Sec Target Turns Ratio" prompt="Pri-Sec Target Turns Ratio" sqref="J15">
      <formula1>0</formula1>
    </dataValidation>
    <dataValidation type="decimal" errorStyle="warning" allowBlank="1" showInputMessage="1" showErrorMessage="1" errorTitle="Pri-Aux Turns Ratio" error="Turns out of range" promptTitle="Pri-Aux Turns Ratio" prompt="Pri-Aux Turns Ratio" sqref="H47:I47">
      <formula1>0</formula1>
      <formula2>1000</formula2>
    </dataValidation>
    <dataValidation type="decimal" errorStyle="warning" allowBlank="1" showInputMessage="1" showErrorMessage="1" errorTitle="Pri-Sec Turns Ratio" error="Out of Range" promptTitle="Pri-Sec Turns Ratio" prompt="Pri-Sec Turns Ratio" sqref="G45:G46">
      <formula1>0</formula1>
      <formula2>1000</formula2>
    </dataValidation>
    <dataValidation type="decimal" errorStyle="warning" allowBlank="1" showInputMessage="1" showErrorMessage="1" errorTitle="DCR too High" error="DCR too High" promptTitle="Sec_DCR" prompt="Sec_DCR in mOhms" sqref="F45:F46">
      <formula1>0</formula1>
      <formula2>1000</formula2>
    </dataValidation>
    <dataValidation type="decimal" errorStyle="warning" allowBlank="1" showInputMessage="1" showErrorMessage="1" errorTitle="DCR too High" error="DCR too High" promptTitle="Pri_DCR" prompt="Pri_DCR in mOhms" sqref="E45:E46">
      <formula1>0</formula1>
      <formula2>10000</formula2>
    </dataValidation>
    <dataValidation type="decimal" operator="greaterThan" allowBlank="1" showInputMessage="1" showErrorMessage="1" promptTitle="Bulk Ripple Voltage" prompt="HVDC Ripple Voltage" sqref="J12">
      <formula1>0</formula1>
    </dataValidation>
    <dataValidation type="list" allowBlank="1" showInputMessage="1" showErrorMessage="1" promptTitle="Line Frequency" prompt="Line Frequency" sqref="E10">
      <formula1>$W$6:$W$10</formula1>
    </dataValidation>
    <dataValidation type="decimal" operator="greaterThan" allowBlank="1" showInputMessage="1" showErrorMessage="1" promptTitle="Maximum Current" prompt="Maximum Current" sqref="J8">
      <formula1>0</formula1>
    </dataValidation>
    <dataValidation type="decimal" operator="greaterThan" allowBlank="1" showInputMessage="1" showErrorMessage="1" promptTitle="Output Voltage" prompt="Output Voltage" sqref="J7">
      <formula1>0</formula1>
    </dataValidation>
    <dataValidation type="decimal" errorStyle="warning" allowBlank="1" showInputMessage="1" showErrorMessage="1" errorTitle="OIP" error="Overcurrent out of normal range" promptTitle="Overcurrent Percentage" prompt="Overcurrent Percentage Greater than 100%" sqref="J10">
      <formula1>1</formula1>
      <formula2>10</formula2>
    </dataValidation>
    <dataValidation type="decimal" errorStyle="warning" allowBlank="1" showInputMessage="1" showErrorMessage="1" error="Minimum Fsw below Minimum Fsw clamp" promptTitle="Min Fsw" prompt="Min Fsw" sqref="E16">
      <formula1>25</formula1>
      <formula2>360</formula2>
    </dataValidation>
    <dataValidation type="decimal" errorStyle="warning" allowBlank="1" showInputMessage="1" showErrorMessage="1" errorTitle="Efficiency" error="Efficiency out of range" promptTitle="Estimate Efficiency" prompt="Estimate Efficiency" sqref="E14">
      <formula1>0</formula1>
      <formula2>1</formula2>
    </dataValidation>
    <dataValidation type="decimal" operator="greaterThan" allowBlank="1" showInputMessage="1" showErrorMessage="1" promptTitle="Output Power" prompt="Output Power" sqref="E12">
      <formula1>0</formula1>
    </dataValidation>
    <dataValidation type="decimal" errorStyle="warning" allowBlank="1" showInputMessage="1" showErrorMessage="1" errorTitle="Max Input" error="Max Input Voltage out of normal range" promptTitle="Maximum AC Input" prompt="Maximum AC Input" sqref="E8">
      <formula1>80</formula1>
      <formula2>350</formula2>
    </dataValidation>
    <dataValidation type="decimal" errorStyle="warning" operator="greaterThan" allowBlank="1" showInputMessage="1" showErrorMessage="1" errorTitle="Input" error="Input Voltage below Brown-out threshold" promptTitle="Minimum AC Input" prompt="Minimum AC Input" sqref="E7">
      <formula1>66</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64"/>
  <sheetViews>
    <sheetView showGridLines="0" topLeftCell="A10" workbookViewId="0">
      <selection activeCell="D10" sqref="D10"/>
    </sheetView>
  </sheetViews>
  <sheetFormatPr defaultRowHeight="15" x14ac:dyDescent="0.25"/>
  <cols>
    <col min="2" max="2" width="9.140625" style="2"/>
    <col min="3" max="3" width="20.28515625" style="2" customWidth="1"/>
    <col min="4" max="4" width="16.5703125" style="2" customWidth="1"/>
    <col min="5" max="6" width="9.28515625" style="2" customWidth="1"/>
    <col min="7" max="7" width="18.28515625" style="60" customWidth="1"/>
    <col min="8" max="8" width="20" customWidth="1"/>
    <col min="9" max="9" width="35.28515625" customWidth="1"/>
    <col min="10" max="10" width="10.28515625" style="108" customWidth="1"/>
    <col min="11" max="11" width="11.42578125" style="108" customWidth="1"/>
    <col min="12" max="12" width="9.42578125" style="108" customWidth="1"/>
    <col min="14" max="14" width="14.85546875" hidden="1" customWidth="1"/>
    <col min="15" max="15" width="16.85546875" customWidth="1"/>
    <col min="16" max="16" width="13.42578125" customWidth="1"/>
    <col min="17" max="17" width="11" customWidth="1"/>
    <col min="18" max="18" width="5.7109375" style="33" bestFit="1" customWidth="1"/>
    <col min="19" max="19" width="35.85546875" style="33" bestFit="1" customWidth="1"/>
    <col min="20" max="20" width="24.5703125" style="33" bestFit="1" customWidth="1"/>
    <col min="21" max="21" width="4.7109375" style="33" bestFit="1" customWidth="1"/>
    <col min="22" max="22" width="11.42578125" style="33" bestFit="1" customWidth="1"/>
  </cols>
  <sheetData>
    <row r="1" spans="1:37" x14ac:dyDescent="0.25">
      <c r="A1" s="1"/>
      <c r="B1" s="66"/>
      <c r="C1" s="66"/>
      <c r="D1" s="66"/>
      <c r="E1" s="66"/>
      <c r="F1" s="66"/>
      <c r="G1" s="65"/>
      <c r="H1" s="1"/>
      <c r="I1" s="1"/>
      <c r="J1" s="1"/>
      <c r="K1" s="1"/>
      <c r="L1" s="1"/>
      <c r="M1" s="1"/>
      <c r="N1" s="1"/>
      <c r="O1" s="1"/>
      <c r="P1" s="1"/>
      <c r="Q1" s="1"/>
      <c r="R1" s="65"/>
      <c r="S1" s="65"/>
      <c r="T1" s="65"/>
      <c r="U1" s="65"/>
      <c r="V1" s="65"/>
      <c r="W1" s="1"/>
      <c r="X1" s="1"/>
      <c r="Y1" s="1"/>
      <c r="Z1" s="1"/>
      <c r="AA1" s="1"/>
      <c r="AB1" s="1"/>
      <c r="AC1" s="1"/>
      <c r="AD1" s="1"/>
      <c r="AE1" s="1"/>
      <c r="AF1" s="1"/>
      <c r="AG1" s="1"/>
      <c r="AH1" s="1"/>
      <c r="AI1" s="1"/>
      <c r="AJ1" s="1"/>
      <c r="AK1" s="1"/>
    </row>
    <row r="2" spans="1:37" x14ac:dyDescent="0.25">
      <c r="A2" s="1"/>
      <c r="B2" s="66"/>
      <c r="C2" s="66"/>
      <c r="D2" s="66"/>
      <c r="E2" s="66"/>
      <c r="F2" s="66"/>
      <c r="G2" s="65"/>
      <c r="H2" s="1"/>
      <c r="I2" s="1"/>
      <c r="J2" s="1"/>
      <c r="K2" s="1"/>
      <c r="L2" s="1"/>
      <c r="M2" s="1"/>
      <c r="N2" s="1"/>
      <c r="O2" s="1"/>
      <c r="P2" s="1"/>
      <c r="Q2" s="1"/>
      <c r="R2" s="65"/>
      <c r="S2" s="65"/>
      <c r="T2" s="65"/>
      <c r="U2" s="65"/>
      <c r="V2" s="65"/>
      <c r="W2" s="1"/>
      <c r="X2" s="1"/>
      <c r="Y2" s="1"/>
      <c r="Z2" s="1"/>
      <c r="AA2" s="1"/>
      <c r="AB2" s="1"/>
      <c r="AC2" s="1"/>
      <c r="AD2" s="1"/>
      <c r="AE2" s="1"/>
      <c r="AF2" s="1"/>
      <c r="AG2" s="1"/>
      <c r="AH2" s="1"/>
      <c r="AI2" s="1"/>
      <c r="AJ2" s="1"/>
      <c r="AK2" s="1"/>
    </row>
    <row r="3" spans="1:37" x14ac:dyDescent="0.25">
      <c r="A3" s="1"/>
      <c r="B3" s="66"/>
      <c r="C3" s="66"/>
      <c r="D3" s="66"/>
      <c r="E3" s="66"/>
      <c r="F3" s="66"/>
      <c r="G3" s="65"/>
      <c r="H3" s="1"/>
      <c r="I3" s="1"/>
      <c r="J3" s="1"/>
      <c r="K3" s="1"/>
      <c r="L3" s="1"/>
      <c r="M3" s="1"/>
      <c r="N3" s="1"/>
      <c r="O3" s="1"/>
      <c r="P3" s="1"/>
      <c r="Q3" s="1"/>
      <c r="R3" s="65"/>
      <c r="S3" s="65"/>
      <c r="T3" s="65"/>
      <c r="U3" s="65"/>
      <c r="V3" s="65"/>
      <c r="W3" s="1"/>
      <c r="X3" s="1"/>
      <c r="Y3" s="1"/>
      <c r="Z3" s="1"/>
      <c r="AA3" s="1"/>
      <c r="AB3" s="1"/>
      <c r="AC3" s="1"/>
      <c r="AD3" s="1"/>
      <c r="AE3" s="1"/>
      <c r="AF3" s="1"/>
      <c r="AG3" s="1"/>
      <c r="AH3" s="1"/>
      <c r="AI3" s="1"/>
      <c r="AJ3" s="1"/>
      <c r="AK3" s="1"/>
    </row>
    <row r="4" spans="1:37" x14ac:dyDescent="0.25">
      <c r="A4" s="1"/>
      <c r="B4" s="66"/>
      <c r="C4" s="66"/>
      <c r="D4" s="66"/>
      <c r="E4" s="66"/>
      <c r="F4" s="66"/>
      <c r="G4" s="65"/>
      <c r="H4" s="1"/>
      <c r="I4" s="1" t="s">
        <v>329</v>
      </c>
      <c r="J4" s="65">
        <f>(95+D9)/1000</f>
        <v>9.5000000000000001E-2</v>
      </c>
      <c r="K4" s="65" t="s">
        <v>138</v>
      </c>
      <c r="L4" s="1"/>
      <c r="M4" s="1"/>
      <c r="N4" s="1"/>
      <c r="O4" s="1">
        <f>(('Step 2 - Operating Conditions'!F33/'Step 2 - Operating Conditions'!H52)+J11)/J11</f>
        <v>962.34384491377716</v>
      </c>
      <c r="P4" s="1"/>
      <c r="Q4" s="1"/>
      <c r="R4" s="65"/>
      <c r="S4" s="65"/>
      <c r="T4" s="65"/>
      <c r="U4" s="65"/>
      <c r="V4" s="65"/>
      <c r="W4" s="1"/>
      <c r="X4" s="1"/>
      <c r="Y4" s="1"/>
      <c r="Z4" s="1"/>
      <c r="AA4" s="1"/>
      <c r="AB4" s="1"/>
      <c r="AC4" s="1"/>
      <c r="AD4" s="1"/>
      <c r="AE4" s="1"/>
      <c r="AF4" s="1"/>
      <c r="AG4" s="1"/>
      <c r="AH4" s="1"/>
      <c r="AI4" s="1"/>
      <c r="AJ4" s="1"/>
      <c r="AK4" s="1"/>
    </row>
    <row r="5" spans="1:37" x14ac:dyDescent="0.25">
      <c r="A5" s="1"/>
      <c r="B5" s="66"/>
      <c r="C5" s="66"/>
      <c r="D5" s="66"/>
      <c r="E5" s="66"/>
      <c r="F5" s="66"/>
      <c r="G5" s="65"/>
      <c r="H5" s="1"/>
      <c r="I5" s="1"/>
      <c r="J5" s="1"/>
      <c r="K5" s="1"/>
      <c r="L5" s="1"/>
      <c r="M5" s="1"/>
      <c r="N5" s="1"/>
      <c r="O5" s="1"/>
      <c r="P5" s="1"/>
      <c r="Q5" s="1"/>
      <c r="R5" s="65"/>
      <c r="S5" s="65"/>
      <c r="T5" s="65"/>
      <c r="U5" s="65"/>
      <c r="V5" s="65"/>
      <c r="W5" s="1"/>
      <c r="X5" s="1"/>
      <c r="Y5" s="1"/>
      <c r="Z5" s="1"/>
      <c r="AA5" s="1"/>
      <c r="AB5" s="1"/>
      <c r="AC5" s="1"/>
      <c r="AD5" s="1"/>
      <c r="AE5" s="1"/>
      <c r="AF5" s="1"/>
      <c r="AG5" s="1"/>
      <c r="AH5" s="1"/>
      <c r="AI5" s="1"/>
      <c r="AJ5" s="1"/>
      <c r="AK5" s="1"/>
    </row>
    <row r="6" spans="1:37" ht="21" x14ac:dyDescent="0.25">
      <c r="A6" s="1"/>
      <c r="B6" s="66"/>
      <c r="C6" s="438" t="s">
        <v>175</v>
      </c>
      <c r="D6" s="438"/>
      <c r="E6" s="438"/>
      <c r="F6" s="69"/>
      <c r="G6" s="65"/>
      <c r="H6" s="1"/>
      <c r="I6" s="1" t="s">
        <v>331</v>
      </c>
      <c r="J6" s="263">
        <f>'Step 2 - Operating Conditions'!F27*'Step 3 - Component Selection'!J4/'Step 2 - Operating Conditions'!C44</f>
        <v>0.11194166666666666</v>
      </c>
      <c r="K6" s="65" t="s">
        <v>332</v>
      </c>
      <c r="L6" s="1"/>
      <c r="M6" s="1"/>
      <c r="N6" s="1"/>
      <c r="O6" s="1"/>
      <c r="P6" s="1"/>
      <c r="Q6" s="1"/>
      <c r="R6" s="65"/>
      <c r="S6" s="65"/>
      <c r="T6" s="65"/>
      <c r="U6" s="65"/>
      <c r="V6" s="65"/>
      <c r="W6" s="1"/>
      <c r="X6" s="1"/>
      <c r="Y6" s="1"/>
      <c r="Z6" s="1"/>
      <c r="AA6" s="1"/>
      <c r="AB6" s="1"/>
      <c r="AC6" s="1"/>
      <c r="AD6" s="1"/>
      <c r="AE6" s="1"/>
      <c r="AF6" s="1"/>
      <c r="AG6" s="1"/>
      <c r="AH6" s="1"/>
      <c r="AI6" s="1"/>
      <c r="AJ6" s="1"/>
      <c r="AK6" s="1"/>
    </row>
    <row r="7" spans="1:37" ht="21" x14ac:dyDescent="0.25">
      <c r="A7" s="1"/>
      <c r="B7" s="66"/>
      <c r="C7" s="250" t="s">
        <v>124</v>
      </c>
      <c r="D7" s="54">
        <f>'Step 1 - Device Parameters'!E8/'Step 2 - Operating Conditions'!J27</f>
        <v>0.18770716510462865</v>
      </c>
      <c r="E7" s="55" t="s">
        <v>134</v>
      </c>
      <c r="F7" s="264"/>
      <c r="G7" s="265"/>
      <c r="H7" s="1"/>
      <c r="I7" s="1" t="s">
        <v>330</v>
      </c>
      <c r="J7" s="1">
        <f>'Step 2 - Operating Conditions'!F33*'Step 3 - Component Selection'!J4/'Step 2 - Operating Conditions'!C44</f>
        <v>0.35821333333333333</v>
      </c>
      <c r="K7" s="65" t="s">
        <v>332</v>
      </c>
      <c r="L7" s="1"/>
      <c r="M7" s="1"/>
      <c r="N7" s="1" t="s">
        <v>157</v>
      </c>
      <c r="O7" s="1">
        <f>'Step 1 - Device Parameters'!E8</f>
        <v>0.8</v>
      </c>
      <c r="P7" s="1"/>
      <c r="Q7" s="1"/>
      <c r="R7" s="65"/>
      <c r="S7" s="65"/>
      <c r="T7" s="65"/>
      <c r="U7" s="65"/>
      <c r="V7" s="65"/>
      <c r="W7" s="1"/>
      <c r="X7" s="1"/>
      <c r="Y7" s="1"/>
      <c r="Z7" s="1"/>
      <c r="AA7" s="1"/>
      <c r="AB7" s="1"/>
      <c r="AC7" s="1"/>
      <c r="AD7" s="1"/>
      <c r="AE7" s="1"/>
      <c r="AF7" s="1"/>
      <c r="AG7" s="1"/>
      <c r="AH7" s="1"/>
      <c r="AI7" s="1"/>
      <c r="AJ7" s="1"/>
      <c r="AK7" s="1"/>
    </row>
    <row r="8" spans="1:37" ht="21" x14ac:dyDescent="0.25">
      <c r="A8" s="1"/>
      <c r="B8" s="66"/>
      <c r="C8" s="250" t="s">
        <v>174</v>
      </c>
      <c r="D8" s="54">
        <f>D7*'Step 2 - Operating Conditions'!I27^2</f>
        <v>0.46041548679585115</v>
      </c>
      <c r="E8" s="55" t="s">
        <v>26</v>
      </c>
      <c r="F8" s="264"/>
      <c r="G8" s="65"/>
      <c r="H8" s="1"/>
      <c r="I8" s="1"/>
      <c r="J8" s="1"/>
      <c r="K8" s="1"/>
      <c r="L8" s="1"/>
      <c r="M8" s="1"/>
      <c r="N8" s="1"/>
      <c r="O8" s="1"/>
      <c r="P8" s="1"/>
      <c r="Q8" s="1"/>
      <c r="R8" s="65"/>
      <c r="S8" s="65"/>
      <c r="T8" s="65"/>
      <c r="U8" s="65"/>
      <c r="V8" s="65"/>
      <c r="W8" s="1"/>
      <c r="X8" s="1"/>
      <c r="Y8" s="1"/>
      <c r="Z8" s="1"/>
      <c r="AA8" s="1"/>
      <c r="AB8" s="1"/>
      <c r="AC8" s="1"/>
      <c r="AD8" s="1"/>
      <c r="AE8" s="1"/>
      <c r="AF8" s="1"/>
      <c r="AG8" s="1"/>
      <c r="AH8" s="1"/>
      <c r="AI8" s="1"/>
      <c r="AJ8" s="1"/>
      <c r="AK8" s="1"/>
    </row>
    <row r="9" spans="1:37" ht="63" x14ac:dyDescent="0.25">
      <c r="A9" s="1"/>
      <c r="B9" s="66"/>
      <c r="C9" s="221" t="s">
        <v>334</v>
      </c>
      <c r="D9" s="270">
        <v>0</v>
      </c>
      <c r="E9" s="55" t="s">
        <v>335</v>
      </c>
      <c r="F9" s="264"/>
      <c r="G9" s="65"/>
      <c r="H9" s="1"/>
      <c r="I9" s="1"/>
      <c r="J9" s="1"/>
      <c r="K9" s="1"/>
      <c r="L9" s="1"/>
      <c r="M9" s="1"/>
      <c r="N9" s="1"/>
      <c r="O9" s="1"/>
      <c r="P9" s="1"/>
      <c r="Q9" s="1"/>
      <c r="R9" s="65"/>
      <c r="S9" s="65"/>
      <c r="T9" s="65"/>
      <c r="U9" s="65"/>
      <c r="V9" s="65"/>
      <c r="W9" s="1"/>
      <c r="X9" s="1"/>
      <c r="Y9" s="1"/>
      <c r="Z9" s="1"/>
      <c r="AA9" s="1"/>
      <c r="AB9" s="1"/>
      <c r="AC9" s="1"/>
      <c r="AD9" s="1"/>
      <c r="AE9" s="1"/>
      <c r="AF9" s="1"/>
      <c r="AG9" s="1"/>
      <c r="AH9" s="1"/>
      <c r="AI9" s="1"/>
      <c r="AJ9" s="1"/>
      <c r="AK9" s="1"/>
    </row>
    <row r="10" spans="1:37" ht="21" x14ac:dyDescent="0.25">
      <c r="A10" s="1"/>
      <c r="B10" s="66"/>
      <c r="C10" s="68"/>
      <c r="D10" s="68"/>
      <c r="E10" s="68"/>
      <c r="F10" s="67"/>
      <c r="G10" s="65"/>
      <c r="H10" s="1"/>
      <c r="I10" s="1" t="s">
        <v>333</v>
      </c>
      <c r="J10" s="1">
        <f>J7*D7</f>
        <v>6.7239209302679376E-2</v>
      </c>
      <c r="K10" s="1"/>
      <c r="L10" s="1"/>
      <c r="M10" s="1"/>
      <c r="N10" s="1"/>
      <c r="O10" s="1"/>
      <c r="P10" s="1"/>
      <c r="Q10" s="1"/>
      <c r="R10" s="65"/>
      <c r="S10" s="65"/>
      <c r="T10" s="65"/>
      <c r="U10" s="65"/>
      <c r="V10" s="65"/>
      <c r="W10" s="1"/>
      <c r="X10" s="1"/>
      <c r="Y10" s="1"/>
      <c r="Z10" s="1"/>
      <c r="AA10" s="1"/>
      <c r="AB10" s="1"/>
      <c r="AC10" s="1"/>
      <c r="AD10" s="1"/>
      <c r="AE10" s="1"/>
      <c r="AF10" s="1"/>
      <c r="AG10" s="1"/>
      <c r="AH10" s="1"/>
      <c r="AI10" s="1"/>
      <c r="AJ10" s="1"/>
      <c r="AK10" s="1"/>
    </row>
    <row r="11" spans="1:37" ht="21" x14ac:dyDescent="0.25">
      <c r="A11" s="1"/>
      <c r="B11" s="66"/>
      <c r="C11" s="419" t="s">
        <v>168</v>
      </c>
      <c r="D11" s="419"/>
      <c r="E11" s="419"/>
      <c r="F11" s="67"/>
      <c r="G11" s="65"/>
      <c r="H11" s="1"/>
      <c r="I11" s="1"/>
      <c r="J11" s="1">
        <f>IF(J10&lt;0.25,J10,0.25)</f>
        <v>6.7239209302679376E-2</v>
      </c>
      <c r="K11" s="1"/>
      <c r="L11" s="1"/>
      <c r="M11" s="1"/>
      <c r="N11" s="1" t="s">
        <v>158</v>
      </c>
      <c r="O11" s="1">
        <f>-'Step 2 - Operating Conditions'!F33/'Step 2 - Operating Conditions'!H52</f>
        <v>-64.64</v>
      </c>
      <c r="P11" s="1"/>
      <c r="Q11" s="1"/>
      <c r="R11" s="65"/>
      <c r="S11" s="65"/>
      <c r="T11" s="65"/>
      <c r="U11" s="65"/>
      <c r="V11" s="65"/>
      <c r="W11" s="1"/>
      <c r="X11" s="1"/>
      <c r="Y11" s="1"/>
      <c r="Z11" s="1"/>
      <c r="AA11" s="1"/>
      <c r="AB11" s="1"/>
      <c r="AC11" s="1"/>
      <c r="AD11" s="1"/>
      <c r="AE11" s="1"/>
      <c r="AF11" s="1"/>
      <c r="AG11" s="1"/>
      <c r="AH11" s="1"/>
      <c r="AI11" s="1"/>
      <c r="AJ11" s="1"/>
      <c r="AK11" s="1"/>
    </row>
    <row r="12" spans="1:37" ht="21" x14ac:dyDescent="0.35">
      <c r="A12" s="1"/>
      <c r="B12" s="66"/>
      <c r="C12" s="24" t="s">
        <v>169</v>
      </c>
      <c r="D12" s="86">
        <v>8</v>
      </c>
      <c r="E12" s="56" t="s">
        <v>35</v>
      </c>
      <c r="F12" s="266" t="str">
        <f>IF(D12&gt;'Step 2 - Operating Conditions'!J8,"Vzcd cannot be higher than Vout","")</f>
        <v/>
      </c>
      <c r="G12" s="267"/>
      <c r="H12" s="267"/>
      <c r="I12" s="267"/>
      <c r="J12" s="267"/>
      <c r="K12" s="267"/>
      <c r="L12" s="1"/>
      <c r="M12" s="1"/>
      <c r="N12" s="1" t="s">
        <v>159</v>
      </c>
      <c r="O12" s="1">
        <f>-'Step 2 - Operating Conditions'!F27/'Step 2 - Operating Conditions'!H52</f>
        <v>-20.2</v>
      </c>
      <c r="P12" s="1"/>
      <c r="Q12" s="1"/>
      <c r="R12" s="65"/>
      <c r="S12" s="65"/>
      <c r="T12" s="65"/>
      <c r="U12" s="65"/>
      <c r="V12" s="65"/>
      <c r="W12" s="1"/>
      <c r="X12" s="1"/>
      <c r="Y12" s="1"/>
      <c r="Z12" s="1"/>
      <c r="AA12" s="1"/>
      <c r="AB12" s="1"/>
      <c r="AC12" s="1"/>
      <c r="AD12" s="1"/>
      <c r="AE12" s="1"/>
      <c r="AF12" s="1"/>
      <c r="AG12" s="1"/>
      <c r="AH12" s="1"/>
      <c r="AI12" s="1"/>
      <c r="AJ12" s="1"/>
      <c r="AK12" s="1"/>
    </row>
    <row r="13" spans="1:37" ht="21" x14ac:dyDescent="0.25">
      <c r="A13" s="1"/>
      <c r="B13" s="66"/>
      <c r="C13" s="24" t="s">
        <v>165</v>
      </c>
      <c r="D13" s="86">
        <v>1</v>
      </c>
      <c r="E13" s="56" t="s">
        <v>71</v>
      </c>
      <c r="F13" s="67"/>
      <c r="G13" s="65"/>
      <c r="H13" s="1"/>
      <c r="I13" s="1"/>
      <c r="J13" s="1"/>
      <c r="K13" s="1"/>
      <c r="L13" s="1"/>
      <c r="M13" s="1"/>
      <c r="N13" s="1"/>
      <c r="O13" s="1"/>
      <c r="P13" s="1"/>
      <c r="Q13" s="1"/>
      <c r="R13" s="65"/>
      <c r="S13" s="65"/>
      <c r="T13" s="65"/>
      <c r="U13" s="65"/>
      <c r="V13" s="65"/>
      <c r="W13" s="1"/>
      <c r="X13" s="1"/>
      <c r="Y13" s="1"/>
      <c r="Z13" s="1"/>
      <c r="AA13" s="1"/>
      <c r="AB13" s="1"/>
      <c r="AC13" s="1"/>
      <c r="AD13" s="1"/>
      <c r="AE13" s="1"/>
      <c r="AF13" s="1"/>
      <c r="AG13" s="1"/>
      <c r="AH13" s="1"/>
      <c r="AI13" s="1"/>
      <c r="AJ13" s="1"/>
      <c r="AK13" s="1"/>
    </row>
    <row r="14" spans="1:37" ht="21" x14ac:dyDescent="0.25">
      <c r="A14" s="1"/>
      <c r="B14" s="66"/>
      <c r="C14" s="24" t="s">
        <v>166</v>
      </c>
      <c r="D14" s="32">
        <f>D13*('Step 2 - Operating Conditions'!J50-'Step 3 - Component Selection'!D12)/'Step 3 - Component Selection'!D12</f>
        <v>0.72500000000000009</v>
      </c>
      <c r="E14" s="56" t="s">
        <v>71</v>
      </c>
      <c r="F14" s="67"/>
      <c r="G14" s="65" t="str">
        <f>IF(D14&gt;3,"Adjust R_ZCD such that R_OPP_L &gt; 3k","")</f>
        <v/>
      </c>
      <c r="H14" s="1"/>
      <c r="I14" s="1"/>
      <c r="J14" s="1"/>
      <c r="K14" s="1"/>
      <c r="L14" s="1"/>
      <c r="M14" s="1"/>
      <c r="N14" s="1" t="s">
        <v>160</v>
      </c>
      <c r="O14" s="1">
        <f>'Step 2 - Operating Conditions'!J27*'Step 2 - Operating Conditions'!J11</f>
        <v>4.6881534836961869</v>
      </c>
      <c r="P14" s="1">
        <f>O14/O15</f>
        <v>1.3753581313354895</v>
      </c>
      <c r="Q14" s="1">
        <f>O19/O20</f>
        <v>1.3753581313354895</v>
      </c>
      <c r="R14" s="65"/>
      <c r="S14" s="65"/>
      <c r="T14" s="65"/>
      <c r="U14" s="65"/>
      <c r="V14" s="65"/>
      <c r="W14" s="1"/>
      <c r="X14" s="1"/>
      <c r="Y14" s="1"/>
      <c r="Z14" s="1"/>
      <c r="AA14" s="1"/>
      <c r="AB14" s="1"/>
      <c r="AC14" s="1"/>
      <c r="AD14" s="1"/>
      <c r="AE14" s="1"/>
      <c r="AF14" s="1"/>
      <c r="AG14" s="1"/>
      <c r="AH14" s="1"/>
      <c r="AI14" s="1"/>
      <c r="AJ14" s="1"/>
      <c r="AK14" s="1"/>
    </row>
    <row r="15" spans="1:37" ht="21" x14ac:dyDescent="0.25">
      <c r="A15" s="1"/>
      <c r="B15" s="66"/>
      <c r="C15" s="24" t="s">
        <v>167</v>
      </c>
      <c r="D15" s="91">
        <f>(D14*O4)-D13</f>
        <v>696.69928756248851</v>
      </c>
      <c r="E15" s="56" t="s">
        <v>71</v>
      </c>
      <c r="F15" s="268" t="str">
        <f>IF(J10&gt;0.25,"Insufficient OPP for target Fsw","")</f>
        <v/>
      </c>
      <c r="G15" s="65"/>
      <c r="H15" s="1"/>
      <c r="I15" s="1"/>
      <c r="J15" s="1"/>
      <c r="K15" s="1"/>
      <c r="L15" s="1"/>
      <c r="M15" s="1"/>
      <c r="N15" s="1" t="s">
        <v>161</v>
      </c>
      <c r="O15" s="1">
        <f>'Step 2 - Operating Conditions'!J33*'Step 2 - Operating Conditions'!J11</f>
        <v>3.4086783484850836</v>
      </c>
      <c r="P15" s="1"/>
      <c r="Q15" s="1"/>
      <c r="R15" s="65"/>
      <c r="S15" s="65"/>
      <c r="T15" s="65"/>
      <c r="U15" s="65"/>
      <c r="V15" s="65"/>
      <c r="W15" s="1"/>
      <c r="X15" s="1"/>
      <c r="Y15" s="1"/>
      <c r="Z15" s="1"/>
      <c r="AA15" s="1"/>
      <c r="AB15" s="1"/>
      <c r="AC15" s="1"/>
      <c r="AD15" s="1"/>
      <c r="AE15" s="1"/>
      <c r="AF15" s="1"/>
      <c r="AG15" s="1"/>
      <c r="AH15" s="1"/>
      <c r="AI15" s="1"/>
      <c r="AJ15" s="1"/>
      <c r="AK15" s="1"/>
    </row>
    <row r="16" spans="1:37" ht="42" customHeight="1" x14ac:dyDescent="0.25">
      <c r="A16" s="1"/>
      <c r="B16" s="66"/>
      <c r="C16" s="24" t="s">
        <v>173</v>
      </c>
      <c r="D16" s="26">
        <f>(D15/(D15+D14+D13))*'Step 2 - Operating Conditions'!F33/'Step 2 - Operating Conditions'!H52</f>
        <v>64.480349194629028</v>
      </c>
      <c r="E16" s="56" t="s">
        <v>35</v>
      </c>
      <c r="F16" s="440" t="s">
        <v>305</v>
      </c>
      <c r="G16" s="441"/>
      <c r="H16" s="269"/>
      <c r="I16" s="269"/>
      <c r="J16" s="269"/>
      <c r="K16" s="269"/>
      <c r="L16" s="1"/>
      <c r="M16" s="1"/>
      <c r="N16" s="1"/>
      <c r="O16" s="1"/>
      <c r="P16" s="1"/>
      <c r="Q16" s="1"/>
      <c r="R16" s="65"/>
      <c r="S16" s="65"/>
      <c r="T16" s="65"/>
      <c r="U16" s="65"/>
      <c r="V16" s="65"/>
      <c r="W16" s="1"/>
      <c r="X16" s="1"/>
      <c r="Y16" s="1"/>
      <c r="Z16" s="1"/>
      <c r="AA16" s="1"/>
      <c r="AB16" s="1"/>
      <c r="AC16" s="1"/>
      <c r="AD16" s="1"/>
      <c r="AE16" s="1"/>
      <c r="AF16" s="1"/>
      <c r="AG16" s="1"/>
      <c r="AH16" s="1"/>
      <c r="AI16" s="1"/>
      <c r="AJ16" s="1"/>
      <c r="AK16" s="1"/>
    </row>
    <row r="17" spans="1:37" ht="21" x14ac:dyDescent="0.25">
      <c r="A17" s="1"/>
      <c r="B17" s="66"/>
      <c r="C17" s="68"/>
      <c r="D17" s="68"/>
      <c r="E17" s="68"/>
      <c r="F17" s="67"/>
      <c r="G17" s="65"/>
      <c r="H17" s="1"/>
      <c r="I17" s="1"/>
      <c r="J17" s="1"/>
      <c r="K17" s="1"/>
      <c r="L17" s="1"/>
      <c r="M17" s="1"/>
      <c r="N17" s="1" t="s">
        <v>162</v>
      </c>
      <c r="O17" s="1">
        <f>O7*(O15-O14)/((O15*O12)-(O14*O11))</f>
        <v>-4.3707822243240404E-3</v>
      </c>
      <c r="P17" s="1"/>
      <c r="Q17" s="1"/>
      <c r="R17" s="65"/>
      <c r="S17" s="65"/>
      <c r="T17" s="65"/>
      <c r="U17" s="65"/>
      <c r="V17" s="65"/>
      <c r="W17" s="1"/>
      <c r="X17" s="1"/>
      <c r="Y17" s="1"/>
      <c r="Z17" s="1"/>
      <c r="AA17" s="1"/>
      <c r="AB17" s="1"/>
      <c r="AC17" s="1"/>
      <c r="AD17" s="1"/>
      <c r="AE17" s="1"/>
      <c r="AF17" s="1"/>
      <c r="AG17" s="1"/>
      <c r="AH17" s="1"/>
      <c r="AI17" s="1"/>
      <c r="AJ17" s="1"/>
      <c r="AK17" s="1"/>
    </row>
    <row r="18" spans="1:37" ht="21" customHeight="1" x14ac:dyDescent="0.25">
      <c r="A18" s="1"/>
      <c r="B18" s="66"/>
      <c r="C18" s="420" t="s">
        <v>177</v>
      </c>
      <c r="D18" s="439"/>
      <c r="E18" s="421"/>
      <c r="F18" s="67"/>
      <c r="G18" s="65"/>
      <c r="H18" s="1"/>
      <c r="I18" s="1"/>
      <c r="J18" s="1"/>
      <c r="K18" s="1"/>
      <c r="L18" s="1"/>
      <c r="M18" s="1"/>
      <c r="N18" s="1"/>
      <c r="O18" s="1"/>
      <c r="P18" s="1"/>
      <c r="Q18" s="1"/>
      <c r="R18" s="65"/>
      <c r="S18" s="65"/>
      <c r="T18" s="65"/>
      <c r="U18" s="65"/>
      <c r="V18" s="65"/>
      <c r="W18" s="1"/>
      <c r="X18" s="1"/>
      <c r="Y18" s="1"/>
      <c r="Z18" s="1"/>
      <c r="AA18" s="1"/>
      <c r="AB18" s="1"/>
      <c r="AC18" s="1"/>
      <c r="AD18" s="1"/>
      <c r="AE18" s="1"/>
      <c r="AF18" s="1"/>
      <c r="AG18" s="1"/>
      <c r="AH18" s="1"/>
      <c r="AI18" s="1"/>
      <c r="AJ18" s="1"/>
      <c r="AK18" s="1"/>
    </row>
    <row r="19" spans="1:37" ht="21" x14ac:dyDescent="0.25">
      <c r="A19" s="1"/>
      <c r="B19" s="66"/>
      <c r="C19" s="24" t="s">
        <v>176</v>
      </c>
      <c r="D19" s="86">
        <v>170</v>
      </c>
      <c r="E19" s="56" t="s">
        <v>34</v>
      </c>
      <c r="F19" s="442" t="str">
        <f>IF(D19&lt;'Step 2 - Operating Conditions'!D33,"Fmax is Limited by the controller","")</f>
        <v>Fmax is Limited by the controller</v>
      </c>
      <c r="G19" s="443"/>
      <c r="H19" s="443"/>
      <c r="I19" s="443"/>
      <c r="J19" s="443"/>
      <c r="K19" s="1"/>
      <c r="L19" s="1" t="s">
        <v>291</v>
      </c>
      <c r="M19" s="1"/>
      <c r="N19" s="1" t="s">
        <v>163</v>
      </c>
      <c r="O19" s="1">
        <f>O7-(O12*O17)</f>
        <v>0.7117101990686544</v>
      </c>
      <c r="P19" s="1"/>
      <c r="Q19" s="1"/>
      <c r="R19" s="65"/>
      <c r="S19" s="65"/>
      <c r="T19" s="65"/>
      <c r="U19" s="65"/>
      <c r="V19" s="65"/>
      <c r="W19" s="1"/>
      <c r="X19" s="1"/>
      <c r="Y19" s="1"/>
      <c r="Z19" s="1"/>
      <c r="AA19" s="1"/>
      <c r="AB19" s="1"/>
      <c r="AC19" s="1"/>
      <c r="AD19" s="1"/>
      <c r="AE19" s="1"/>
      <c r="AF19" s="1"/>
      <c r="AG19" s="1"/>
      <c r="AH19" s="1"/>
      <c r="AI19" s="1"/>
      <c r="AJ19" s="1"/>
      <c r="AK19" s="1"/>
    </row>
    <row r="20" spans="1:37" ht="21" x14ac:dyDescent="0.25">
      <c r="A20" s="1"/>
      <c r="B20" s="66"/>
      <c r="C20" s="24" t="s">
        <v>172</v>
      </c>
      <c r="D20" s="26">
        <f>261/(D19*0.01)</f>
        <v>153.52941176470588</v>
      </c>
      <c r="E20" s="56" t="s">
        <v>71</v>
      </c>
      <c r="F20" s="67"/>
      <c r="G20" s="65"/>
      <c r="H20" s="1"/>
      <c r="I20" s="1"/>
      <c r="J20" s="1"/>
      <c r="K20" s="1"/>
      <c r="L20" s="1" t="s">
        <v>290</v>
      </c>
      <c r="M20" s="1"/>
      <c r="N20" s="1" t="s">
        <v>164</v>
      </c>
      <c r="O20" s="1">
        <f>O7-(O11*O17)</f>
        <v>0.51747263701969404</v>
      </c>
      <c r="P20" s="1"/>
      <c r="Q20" s="1"/>
      <c r="R20" s="65"/>
      <c r="S20" s="65"/>
      <c r="T20" s="65"/>
      <c r="U20" s="65"/>
      <c r="V20" s="65"/>
      <c r="W20" s="1"/>
      <c r="X20" s="1"/>
      <c r="Y20" s="1"/>
      <c r="Z20" s="1"/>
      <c r="AA20" s="1"/>
      <c r="AB20" s="1"/>
      <c r="AC20" s="1"/>
      <c r="AD20" s="1"/>
      <c r="AE20" s="1"/>
      <c r="AF20" s="1"/>
      <c r="AG20" s="1"/>
      <c r="AH20" s="1"/>
      <c r="AI20" s="1"/>
      <c r="AJ20" s="1"/>
      <c r="AK20" s="1"/>
    </row>
    <row r="21" spans="1:37" x14ac:dyDescent="0.25">
      <c r="A21" s="1"/>
      <c r="B21" s="66"/>
      <c r="C21" s="66"/>
      <c r="D21" s="66"/>
      <c r="E21" s="66"/>
      <c r="F21" s="66"/>
      <c r="G21" s="65"/>
      <c r="H21" s="1"/>
      <c r="I21" s="1"/>
      <c r="J21" s="1"/>
      <c r="K21" s="1"/>
      <c r="L21" s="1"/>
      <c r="M21" s="1"/>
      <c r="N21" s="1"/>
      <c r="O21" s="1"/>
      <c r="P21" s="1"/>
      <c r="Q21" s="1"/>
      <c r="R21" s="65"/>
      <c r="S21" s="65"/>
      <c r="T21" s="65"/>
      <c r="U21" s="431" t="s">
        <v>233</v>
      </c>
      <c r="V21" s="432"/>
      <c r="W21" s="432"/>
      <c r="X21" s="432"/>
      <c r="Y21" s="432"/>
      <c r="Z21" s="432"/>
      <c r="AA21" s="432"/>
      <c r="AB21" s="1"/>
      <c r="AC21" s="1"/>
      <c r="AD21" s="1"/>
      <c r="AE21" s="1"/>
      <c r="AF21" s="1"/>
      <c r="AG21" s="1"/>
      <c r="AH21" s="1"/>
      <c r="AI21" s="1"/>
      <c r="AJ21" s="1"/>
      <c r="AK21" s="1"/>
    </row>
    <row r="22" spans="1:37" x14ac:dyDescent="0.25">
      <c r="A22" s="1"/>
      <c r="B22" s="66"/>
      <c r="C22" s="66"/>
      <c r="D22" s="66"/>
      <c r="E22" s="66"/>
      <c r="F22" s="66"/>
      <c r="G22" s="65"/>
      <c r="H22" s="1"/>
      <c r="I22" s="1"/>
      <c r="J22" s="1"/>
      <c r="K22" s="1"/>
      <c r="L22" s="1"/>
      <c r="M22" s="1"/>
      <c r="N22" s="1"/>
      <c r="O22" s="1"/>
      <c r="P22" s="1"/>
      <c r="Q22" s="1"/>
      <c r="R22" s="65"/>
      <c r="S22" s="65"/>
      <c r="T22" s="65"/>
      <c r="U22" s="432"/>
      <c r="V22" s="432"/>
      <c r="W22" s="432"/>
      <c r="X22" s="432"/>
      <c r="Y22" s="432"/>
      <c r="Z22" s="432"/>
      <c r="AA22" s="432"/>
      <c r="AB22" s="1"/>
      <c r="AC22" s="1"/>
      <c r="AD22" s="1"/>
      <c r="AE22" s="1"/>
      <c r="AF22" s="1"/>
      <c r="AG22" s="1"/>
      <c r="AH22" s="1"/>
      <c r="AI22" s="1"/>
      <c r="AJ22" s="1"/>
      <c r="AK22" s="1"/>
    </row>
    <row r="23" spans="1:37" x14ac:dyDescent="0.25">
      <c r="A23" s="1"/>
      <c r="B23" s="66"/>
      <c r="C23" s="66"/>
      <c r="D23" s="66"/>
      <c r="E23" s="66"/>
      <c r="F23" s="66"/>
      <c r="G23" s="65"/>
      <c r="H23" s="1"/>
      <c r="I23" s="1"/>
      <c r="J23" s="1"/>
      <c r="K23" s="1"/>
      <c r="L23" s="1"/>
      <c r="M23" s="1"/>
      <c r="N23" s="1"/>
      <c r="O23" s="1"/>
      <c r="P23" s="1"/>
      <c r="Q23" s="1"/>
      <c r="R23" s="65"/>
      <c r="S23" s="65"/>
      <c r="T23" s="65"/>
      <c r="U23" s="433"/>
      <c r="V23" s="433"/>
      <c r="W23" s="433"/>
      <c r="X23" s="433"/>
      <c r="Y23" s="433"/>
      <c r="Z23" s="433"/>
      <c r="AA23" s="433"/>
      <c r="AB23" s="1"/>
      <c r="AC23" s="1"/>
      <c r="AD23" s="1"/>
      <c r="AE23" s="1"/>
      <c r="AF23" s="1"/>
      <c r="AG23" s="1"/>
      <c r="AH23" s="1"/>
      <c r="AI23" s="1"/>
      <c r="AJ23" s="1"/>
      <c r="AK23" s="1"/>
    </row>
    <row r="24" spans="1:37" ht="21" x14ac:dyDescent="0.35">
      <c r="A24" s="1"/>
      <c r="G24" s="239"/>
      <c r="H24" s="57"/>
      <c r="J24" s="1"/>
      <c r="K24" s="1"/>
      <c r="L24" s="1"/>
      <c r="R24" s="239"/>
      <c r="S24" s="239"/>
      <c r="T24" s="239"/>
      <c r="U24" s="239"/>
      <c r="V24" s="239"/>
      <c r="AK24" s="1"/>
    </row>
    <row r="25" spans="1:37" ht="21" x14ac:dyDescent="0.35">
      <c r="A25" s="1"/>
      <c r="B25" s="231" t="s">
        <v>197</v>
      </c>
      <c r="C25" s="231" t="s">
        <v>198</v>
      </c>
      <c r="D25" s="435" t="s">
        <v>199</v>
      </c>
      <c r="E25" s="435"/>
      <c r="F25" s="435"/>
      <c r="G25" s="434" t="s">
        <v>232</v>
      </c>
      <c r="H25" s="434"/>
      <c r="I25" s="230" t="s">
        <v>90</v>
      </c>
      <c r="J25" s="1"/>
      <c r="K25" s="1"/>
      <c r="L25" s="1"/>
      <c r="R25" s="239"/>
      <c r="S25" s="239"/>
      <c r="T25" s="239"/>
      <c r="U25" s="239"/>
      <c r="V25" s="239"/>
      <c r="AK25" s="1"/>
    </row>
    <row r="26" spans="1:37" ht="21" x14ac:dyDescent="0.35">
      <c r="A26" s="1"/>
      <c r="B26" s="231">
        <v>1</v>
      </c>
      <c r="C26" s="231" t="s">
        <v>320</v>
      </c>
      <c r="D26" s="231"/>
      <c r="E26" s="231"/>
      <c r="F26" s="237"/>
      <c r="G26" s="422" t="s">
        <v>319</v>
      </c>
      <c r="H26" s="423"/>
      <c r="I26" s="76"/>
      <c r="J26" s="1"/>
      <c r="K26" s="1"/>
      <c r="L26" s="1"/>
      <c r="R26" s="239"/>
      <c r="S26" s="239"/>
      <c r="T26" s="239"/>
      <c r="U26" s="239"/>
      <c r="V26" s="239"/>
      <c r="AK26" s="1"/>
    </row>
    <row r="27" spans="1:37" ht="21" x14ac:dyDescent="0.35">
      <c r="A27" s="1"/>
      <c r="B27" s="231">
        <v>1</v>
      </c>
      <c r="C27" s="231" t="s">
        <v>178</v>
      </c>
      <c r="D27" s="231"/>
      <c r="E27" s="37"/>
      <c r="F27" s="72"/>
      <c r="G27" s="422" t="s">
        <v>319</v>
      </c>
      <c r="H27" s="423"/>
      <c r="I27" s="76"/>
      <c r="J27" s="1"/>
      <c r="K27" s="1"/>
      <c r="L27" s="1"/>
      <c r="R27" s="239"/>
      <c r="S27" s="239"/>
      <c r="T27" s="239"/>
      <c r="U27" s="239"/>
      <c r="V27" s="239"/>
      <c r="AK27" s="1"/>
    </row>
    <row r="28" spans="1:37" ht="21" x14ac:dyDescent="0.35">
      <c r="A28" s="1"/>
      <c r="B28" s="231">
        <v>2</v>
      </c>
      <c r="C28" s="231" t="s">
        <v>191</v>
      </c>
      <c r="D28" s="231"/>
      <c r="E28" s="37"/>
      <c r="F28" s="72"/>
      <c r="G28" s="107">
        <f>INDEX('Resistor Values'!$L$4:$L$51,MATCH('Loop Stability Worksht'!D20,'Resistor Values'!$L$4:$L$51,-1))</f>
        <v>0.1</v>
      </c>
      <c r="H28" s="232" t="s">
        <v>72</v>
      </c>
      <c r="I28" s="73"/>
      <c r="J28" s="1"/>
      <c r="K28" s="1"/>
      <c r="L28" s="1"/>
      <c r="R28" s="239"/>
      <c r="S28" s="239"/>
      <c r="T28" s="239"/>
      <c r="U28" s="239"/>
      <c r="V28" s="239"/>
      <c r="AK28" s="1"/>
    </row>
    <row r="29" spans="1:37" ht="21" x14ac:dyDescent="0.35">
      <c r="A29" s="1"/>
      <c r="B29" s="231">
        <v>1</v>
      </c>
      <c r="C29" s="231" t="s">
        <v>283</v>
      </c>
      <c r="D29" s="231"/>
      <c r="E29" s="37"/>
      <c r="F29" s="72"/>
      <c r="G29" s="231">
        <f>'Loop Stability Worksht'!D30</f>
        <v>4.7</v>
      </c>
      <c r="H29" s="232" t="s">
        <v>72</v>
      </c>
      <c r="I29" s="73"/>
      <c r="J29" s="1"/>
      <c r="K29" s="1"/>
      <c r="L29" s="1"/>
      <c r="R29" s="239"/>
      <c r="S29" s="239"/>
      <c r="T29" s="239"/>
      <c r="U29" s="239"/>
      <c r="V29" s="239"/>
      <c r="AK29" s="1"/>
    </row>
    <row r="30" spans="1:37" ht="21" x14ac:dyDescent="0.35">
      <c r="A30" s="1"/>
      <c r="B30" s="231">
        <v>1</v>
      </c>
      <c r="C30" s="231" t="s">
        <v>179</v>
      </c>
      <c r="D30" s="37"/>
      <c r="E30" s="37"/>
      <c r="F30" s="72"/>
      <c r="G30" s="98">
        <f>INDEX('Resistor Values'!$L$4:$L$51,MATCH('Step 2 - Operating Conditions'!H29,'Resistor Values'!$L$4:$L$51,-1))</f>
        <v>100</v>
      </c>
      <c r="H30" s="231" t="s">
        <v>201</v>
      </c>
      <c r="I30" s="74"/>
      <c r="J30" s="1"/>
      <c r="K30" s="1"/>
      <c r="L30" s="1"/>
      <c r="R30" s="239"/>
      <c r="S30" s="239"/>
      <c r="T30" s="239"/>
      <c r="U30" s="239"/>
      <c r="V30" s="239"/>
      <c r="AK30" s="1"/>
    </row>
    <row r="31" spans="1:37" ht="21" x14ac:dyDescent="0.35">
      <c r="A31" s="1"/>
      <c r="B31" s="231">
        <v>1</v>
      </c>
      <c r="C31" s="231" t="s">
        <v>180</v>
      </c>
      <c r="D31" s="231"/>
      <c r="E31" s="37"/>
      <c r="F31" s="72"/>
      <c r="G31" s="98">
        <f>INDEX('Resistor Values'!$L$4:$L$51,MATCH('Loop Stability Worksht'!D37,'Resistor Values'!$L$4:$L$51,-1))</f>
        <v>560</v>
      </c>
      <c r="H31" s="231" t="s">
        <v>201</v>
      </c>
      <c r="I31" s="73"/>
      <c r="J31" s="1"/>
      <c r="K31" s="1"/>
      <c r="L31" s="1"/>
      <c r="R31" s="239"/>
      <c r="S31" s="239"/>
      <c r="T31" s="239"/>
      <c r="U31" s="239"/>
      <c r="V31" s="239"/>
      <c r="AK31" s="1"/>
    </row>
    <row r="32" spans="1:37" ht="21" x14ac:dyDescent="0.35">
      <c r="A32" s="1"/>
      <c r="B32" s="231">
        <v>1</v>
      </c>
      <c r="C32" s="231" t="s">
        <v>181</v>
      </c>
      <c r="D32" s="37"/>
      <c r="E32" s="37"/>
      <c r="F32" s="72"/>
      <c r="G32" s="98">
        <f>INDEX('Resistor Values'!$L$4:$L$51,MATCH('Step 2 - Operating Conditions'!J21,'Resistor Values'!$L$4:$L$51,-1))</f>
        <v>1.5</v>
      </c>
      <c r="H32" s="232" t="s">
        <v>72</v>
      </c>
      <c r="I32" s="74"/>
      <c r="J32" s="1"/>
      <c r="K32" s="1"/>
      <c r="L32" s="1"/>
      <c r="R32" s="239"/>
      <c r="S32" s="239"/>
      <c r="T32" s="239"/>
      <c r="U32" s="239"/>
      <c r="V32" s="239"/>
      <c r="AK32" s="1"/>
    </row>
    <row r="33" spans="1:37" ht="21" x14ac:dyDescent="0.35">
      <c r="A33" s="1"/>
      <c r="B33" s="231">
        <v>1</v>
      </c>
      <c r="C33" s="231" t="s">
        <v>318</v>
      </c>
      <c r="D33" s="37"/>
      <c r="E33" s="37"/>
      <c r="F33" s="72"/>
      <c r="G33" s="436" t="s">
        <v>319</v>
      </c>
      <c r="H33" s="437"/>
      <c r="I33" s="74"/>
      <c r="J33" s="1"/>
      <c r="K33" s="1"/>
      <c r="L33" s="1"/>
      <c r="R33" s="239"/>
      <c r="S33" s="239"/>
      <c r="T33" s="239"/>
      <c r="U33" s="239"/>
      <c r="V33" s="239"/>
      <c r="AK33" s="1"/>
    </row>
    <row r="34" spans="1:37" ht="21" x14ac:dyDescent="0.35">
      <c r="A34" s="1"/>
      <c r="B34" s="419">
        <v>1</v>
      </c>
      <c r="C34" s="419" t="s">
        <v>182</v>
      </c>
      <c r="D34" s="419" t="s">
        <v>200</v>
      </c>
      <c r="E34" s="419"/>
      <c r="F34" s="419"/>
      <c r="G34" s="107">
        <f>INDEX('Resistor Values'!$N$4:$N$12,MATCH('Step 2 - Operating Conditions'!P7,'Resistor Values'!$N$4:$N$12,-1))</f>
        <v>600</v>
      </c>
      <c r="H34" s="231" t="s">
        <v>263</v>
      </c>
      <c r="I34" s="73" t="s">
        <v>269</v>
      </c>
      <c r="J34" s="1"/>
      <c r="K34" s="1"/>
      <c r="L34" s="1"/>
      <c r="R34" s="239"/>
      <c r="S34" s="239"/>
      <c r="T34" s="239"/>
      <c r="U34" s="239"/>
      <c r="V34" s="239"/>
      <c r="AK34" s="1"/>
    </row>
    <row r="35" spans="1:37" s="70" customFormat="1" ht="21" x14ac:dyDescent="0.35">
      <c r="A35" s="71"/>
      <c r="B35" s="419"/>
      <c r="C35" s="419"/>
      <c r="D35" s="419"/>
      <c r="E35" s="419"/>
      <c r="F35" s="419"/>
      <c r="G35" s="107">
        <f>INDEX('Resistor Values'!$P$4:$P$16,MATCH('Step 2 - Operating Conditions'!P11,'Resistor Values'!$P$4:$P$16,-1))</f>
        <v>2</v>
      </c>
      <c r="H35" s="231" t="s">
        <v>266</v>
      </c>
      <c r="I35" s="75"/>
      <c r="J35" s="71"/>
      <c r="K35" s="71"/>
      <c r="L35" s="71"/>
      <c r="R35" s="2"/>
      <c r="S35" s="2"/>
      <c r="T35" s="2"/>
      <c r="U35" s="2"/>
      <c r="V35" s="2"/>
      <c r="AK35" s="71"/>
    </row>
    <row r="36" spans="1:37" ht="23.25" customHeight="1" x14ac:dyDescent="0.35">
      <c r="A36" s="1"/>
      <c r="B36" s="419">
        <v>4</v>
      </c>
      <c r="C36" s="430" t="s">
        <v>189</v>
      </c>
      <c r="D36" s="419" t="s">
        <v>200</v>
      </c>
      <c r="E36" s="419"/>
      <c r="F36" s="419"/>
      <c r="G36" s="107">
        <f>INDEX('Resistor Values'!$N$4:$N$12,MATCH('Step 2 - Operating Conditions'!P7,'Resistor Values'!$N$4:$N$12,-1))</f>
        <v>600</v>
      </c>
      <c r="H36" s="233" t="s">
        <v>263</v>
      </c>
      <c r="I36" s="73" t="s">
        <v>269</v>
      </c>
      <c r="J36" s="1"/>
      <c r="K36" s="1"/>
      <c r="L36" s="1"/>
      <c r="R36" s="239"/>
      <c r="S36" s="239"/>
      <c r="T36" s="239"/>
      <c r="U36" s="239"/>
      <c r="V36" s="239"/>
      <c r="AK36" s="1"/>
    </row>
    <row r="37" spans="1:37" ht="21.75" customHeight="1" x14ac:dyDescent="0.35">
      <c r="A37" s="1"/>
      <c r="B37" s="419"/>
      <c r="C37" s="430"/>
      <c r="D37" s="419"/>
      <c r="E37" s="419"/>
      <c r="F37" s="419"/>
      <c r="G37" s="231">
        <v>0.1</v>
      </c>
      <c r="H37" s="231" t="s">
        <v>266</v>
      </c>
      <c r="J37" s="1"/>
      <c r="K37" s="1"/>
      <c r="L37" s="1"/>
      <c r="R37" s="239"/>
      <c r="S37" s="239"/>
      <c r="T37" s="239"/>
      <c r="U37" s="239"/>
      <c r="V37" s="239"/>
      <c r="AK37" s="1"/>
    </row>
    <row r="38" spans="1:37" ht="21" x14ac:dyDescent="0.35">
      <c r="A38" s="1"/>
      <c r="B38" s="428">
        <v>1</v>
      </c>
      <c r="C38" s="428" t="s">
        <v>187</v>
      </c>
      <c r="D38" s="413" t="s">
        <v>200</v>
      </c>
      <c r="E38" s="414"/>
      <c r="F38" s="415"/>
      <c r="G38" s="107">
        <f>INDEX('Resistor Values'!$N$4:$N$12,MATCH(D16,'Resistor Values'!$N$4:$N$12,-1))</f>
        <v>100</v>
      </c>
      <c r="H38" s="231" t="s">
        <v>263</v>
      </c>
      <c r="I38" s="73" t="s">
        <v>269</v>
      </c>
      <c r="J38" s="1"/>
      <c r="K38" s="1"/>
      <c r="L38" s="1"/>
      <c r="R38" s="239"/>
      <c r="S38" s="239"/>
      <c r="T38" s="239"/>
      <c r="U38" s="239"/>
      <c r="V38" s="239"/>
      <c r="AK38" s="1"/>
    </row>
    <row r="39" spans="1:37" ht="21" x14ac:dyDescent="0.35">
      <c r="A39" s="1"/>
      <c r="B39" s="429"/>
      <c r="C39" s="429"/>
      <c r="D39" s="416"/>
      <c r="E39" s="417"/>
      <c r="F39" s="418"/>
      <c r="G39" s="231">
        <v>0.1</v>
      </c>
      <c r="H39" s="231" t="s">
        <v>266</v>
      </c>
      <c r="I39" s="73"/>
      <c r="J39" s="1"/>
      <c r="K39" s="1"/>
      <c r="L39" s="1"/>
      <c r="R39" s="239"/>
      <c r="S39" s="239"/>
      <c r="T39" s="239"/>
      <c r="U39" s="239"/>
      <c r="V39" s="239"/>
      <c r="AK39" s="1"/>
    </row>
    <row r="40" spans="1:37" ht="21" x14ac:dyDescent="0.35">
      <c r="A40" s="1"/>
      <c r="B40" s="428">
        <v>1</v>
      </c>
      <c r="C40" s="428" t="s">
        <v>188</v>
      </c>
      <c r="D40" s="413" t="s">
        <v>200</v>
      </c>
      <c r="E40" s="414"/>
      <c r="F40" s="415"/>
      <c r="G40" s="107">
        <f>INDEX('Resistor Values'!$N$4:$N$12,MATCH('Step 2 - Operating Conditions'!P8,'Resistor Values'!$N$4:$N$12,-1))</f>
        <v>100</v>
      </c>
      <c r="H40" s="231" t="s">
        <v>263</v>
      </c>
      <c r="I40" s="73" t="s">
        <v>269</v>
      </c>
      <c r="J40" s="97"/>
      <c r="K40" s="1"/>
      <c r="L40" s="1"/>
      <c r="R40" s="239"/>
      <c r="S40" s="239"/>
      <c r="T40" s="239"/>
      <c r="U40" s="239"/>
      <c r="V40" s="239"/>
      <c r="AK40" s="1"/>
    </row>
    <row r="41" spans="1:37" ht="21" x14ac:dyDescent="0.35">
      <c r="A41" s="1"/>
      <c r="B41" s="429"/>
      <c r="C41" s="429"/>
      <c r="D41" s="416"/>
      <c r="E41" s="417"/>
      <c r="F41" s="418"/>
      <c r="G41" s="107">
        <f>INDEX('Resistor Values'!$P$4:$P$16,MATCH('Step 2 - Operating Conditions'!P10,'Resistor Values'!$P$4:$P$16,-1))</f>
        <v>15</v>
      </c>
      <c r="H41" s="231" t="s">
        <v>266</v>
      </c>
      <c r="I41" s="73" t="s">
        <v>269</v>
      </c>
      <c r="J41" s="97" t="e">
        <f>INDEX('Resistor Values'!$E$4:$E$963,MATCH(H7,'Resistor Values'!$E$4:$E$963,1))</f>
        <v>#N/A</v>
      </c>
      <c r="K41" s="1"/>
      <c r="L41" s="1"/>
      <c r="R41" s="239"/>
      <c r="S41" s="239"/>
      <c r="T41" s="239"/>
      <c r="U41" s="239"/>
      <c r="V41" s="239"/>
      <c r="AK41" s="1"/>
    </row>
    <row r="42" spans="1:37" ht="21" x14ac:dyDescent="0.35">
      <c r="A42" s="1"/>
      <c r="B42" s="231">
        <v>1</v>
      </c>
      <c r="C42" s="231" t="s">
        <v>183</v>
      </c>
      <c r="D42" s="422" t="s">
        <v>200</v>
      </c>
      <c r="E42" s="427"/>
      <c r="F42" s="423"/>
      <c r="G42" s="209">
        <f>'Step 5 - Loop Stability'!D6</f>
        <v>0.5</v>
      </c>
      <c r="H42" s="231" t="s">
        <v>324</v>
      </c>
      <c r="I42" s="73"/>
      <c r="J42" s="1"/>
      <c r="K42" s="1"/>
      <c r="L42" s="1"/>
      <c r="R42" s="239"/>
      <c r="S42" s="239"/>
      <c r="T42" s="239"/>
      <c r="U42" s="239"/>
      <c r="V42" s="239"/>
      <c r="AK42" s="1"/>
    </row>
    <row r="43" spans="1:37" ht="21" x14ac:dyDescent="0.35">
      <c r="A43" s="1"/>
      <c r="B43" s="428">
        <v>1</v>
      </c>
      <c r="C43" s="428" t="s">
        <v>184</v>
      </c>
      <c r="D43" s="413" t="s">
        <v>200</v>
      </c>
      <c r="E43" s="414"/>
      <c r="F43" s="415"/>
      <c r="G43" s="107">
        <f>'Step 2 - Operating Conditions'!H39</f>
        <v>779.42886553798303</v>
      </c>
      <c r="H43" s="231" t="s">
        <v>264</v>
      </c>
      <c r="I43" s="73"/>
      <c r="J43" s="97" t="e">
        <f>INDEX('Resistor Values'!$E$4:$E$963,MATCH(H10,'Resistor Values'!$E$4:$E$963,1))</f>
        <v>#N/A</v>
      </c>
      <c r="K43" s="1"/>
      <c r="L43" s="1"/>
      <c r="R43" s="239"/>
      <c r="S43" s="239"/>
      <c r="T43" s="239"/>
      <c r="U43" s="239"/>
      <c r="V43" s="239"/>
      <c r="AK43" s="1"/>
    </row>
    <row r="44" spans="1:37" ht="21" x14ac:dyDescent="0.35">
      <c r="A44" s="1"/>
      <c r="B44" s="429"/>
      <c r="C44" s="429"/>
      <c r="D44" s="416"/>
      <c r="E44" s="417"/>
      <c r="F44" s="418"/>
      <c r="G44" s="231">
        <f>'Step 2 - Operating Conditions'!C39</f>
        <v>0.38500000000000001</v>
      </c>
      <c r="H44" s="231" t="s">
        <v>265</v>
      </c>
      <c r="I44" s="73" t="s">
        <v>268</v>
      </c>
      <c r="J44" s="97" t="e">
        <f>INDEX('Resistor Values'!$E$4:$E$963,MATCH(H11,'Resistor Values'!$E$4:$E$963,1))</f>
        <v>#N/A</v>
      </c>
      <c r="K44" s="1"/>
      <c r="L44" s="1"/>
      <c r="R44" s="239"/>
      <c r="S44" s="239"/>
      <c r="T44" s="239"/>
      <c r="U44" s="239"/>
      <c r="V44" s="239"/>
      <c r="AK44" s="1"/>
    </row>
    <row r="45" spans="1:37" ht="21" x14ac:dyDescent="0.35">
      <c r="A45" s="1"/>
      <c r="B45" s="234">
        <v>1</v>
      </c>
      <c r="C45" s="234" t="s">
        <v>321</v>
      </c>
      <c r="D45" s="235"/>
      <c r="E45" s="236"/>
      <c r="F45" s="236"/>
      <c r="G45" s="422" t="s">
        <v>319</v>
      </c>
      <c r="H45" s="423"/>
      <c r="I45" s="73"/>
      <c r="J45" s="97"/>
      <c r="K45" s="1"/>
      <c r="L45" s="1"/>
      <c r="R45" s="239"/>
      <c r="S45" s="239"/>
      <c r="T45" s="239"/>
      <c r="U45" s="239"/>
      <c r="V45" s="239"/>
      <c r="AK45" s="1"/>
    </row>
    <row r="46" spans="1:37" ht="21" x14ac:dyDescent="0.35">
      <c r="A46" s="1"/>
      <c r="B46" s="231">
        <v>1</v>
      </c>
      <c r="C46" s="231" t="s">
        <v>192</v>
      </c>
      <c r="D46" s="37"/>
      <c r="E46" s="37"/>
      <c r="F46" s="72"/>
      <c r="G46" s="98">
        <f>INDEX('Resistor Values'!$H$4:$H$963,MATCH('Step 2 - Operating Conditions'!J20,'Resistor Values'!$H$4:$H$963,-1))</f>
        <v>33.200000000000003</v>
      </c>
      <c r="H46" s="232" t="s">
        <v>71</v>
      </c>
      <c r="I46" s="73"/>
      <c r="J46" s="97" t="e">
        <f>INDEX('Resistor Values'!$E$4:$E$963,MATCH(H12,'Resistor Values'!$E$4:$E$963,1))</f>
        <v>#N/A</v>
      </c>
      <c r="K46" s="1"/>
      <c r="L46" s="1"/>
      <c r="R46" s="239"/>
      <c r="S46" s="239"/>
      <c r="T46" s="239"/>
      <c r="U46" s="239"/>
      <c r="V46" s="239"/>
      <c r="AK46" s="1"/>
    </row>
    <row r="47" spans="1:37" ht="21" x14ac:dyDescent="0.35">
      <c r="A47" s="1"/>
      <c r="B47" s="231">
        <v>1</v>
      </c>
      <c r="C47" s="231" t="s">
        <v>124</v>
      </c>
      <c r="D47" s="37"/>
      <c r="E47" s="37"/>
      <c r="F47" s="72"/>
      <c r="G47" s="98">
        <f>INDEX('Resistor Values'!$E$4:$E$963,MATCH(D7,'Resistor Values'!$E$4:$E$963,1))</f>
        <v>0.187</v>
      </c>
      <c r="H47" s="55" t="s">
        <v>134</v>
      </c>
      <c r="I47" s="73"/>
      <c r="J47" s="97" t="e">
        <f>INDEX('Resistor Values'!$E$4:$E$963,MATCH(H13,'Resistor Values'!$E$4:$E$963,1))</f>
        <v>#N/A</v>
      </c>
      <c r="K47" s="1"/>
      <c r="L47" s="1"/>
      <c r="R47" s="239"/>
      <c r="S47" s="239"/>
      <c r="T47" s="239"/>
      <c r="U47" s="239"/>
      <c r="V47" s="239"/>
      <c r="AK47" s="1"/>
    </row>
    <row r="48" spans="1:37" ht="21" x14ac:dyDescent="0.35">
      <c r="A48" s="1"/>
      <c r="B48" s="231">
        <v>1</v>
      </c>
      <c r="C48" s="231" t="s">
        <v>193</v>
      </c>
      <c r="D48" s="37"/>
      <c r="E48" s="37"/>
      <c r="F48" s="72"/>
      <c r="G48" s="98">
        <f>INDEX('Resistor Values'!$H$4:$H$963,MATCH('Loop Stability Worksht'!D18,'Resistor Values'!$H$4:$H$963,-1))</f>
        <v>1000000</v>
      </c>
      <c r="H48" s="232" t="s">
        <v>71</v>
      </c>
      <c r="I48" s="73"/>
      <c r="J48" s="97" t="e">
        <f>INDEX('Resistor Values'!$E$4:$E$963,MATCH(H14,'Resistor Values'!$E$4:$E$963,1))</f>
        <v>#N/A</v>
      </c>
      <c r="K48" s="1"/>
      <c r="L48" s="1"/>
      <c r="R48" s="239"/>
      <c r="S48" s="239"/>
      <c r="T48" s="239"/>
      <c r="U48" s="239"/>
      <c r="V48" s="239"/>
      <c r="AK48" s="1"/>
    </row>
    <row r="49" spans="1:37" ht="21" x14ac:dyDescent="0.35">
      <c r="A49" s="1"/>
      <c r="B49" s="231">
        <v>1</v>
      </c>
      <c r="C49" s="231" t="s">
        <v>165</v>
      </c>
      <c r="D49" s="37"/>
      <c r="E49" s="37"/>
      <c r="F49" s="72"/>
      <c r="G49" s="98">
        <f>INDEX('Resistor Values'!$E$4:$E$963,MATCH(D13,'Resistor Values'!$E$4:$E$963,1))</f>
        <v>1</v>
      </c>
      <c r="H49" s="232" t="s">
        <v>71</v>
      </c>
      <c r="I49" s="73"/>
      <c r="J49" s="97" t="e">
        <f>INDEX('Resistor Values'!$E$4:$E$963,MATCH(H15,'Resistor Values'!$E$4:$E$963,1))</f>
        <v>#N/A</v>
      </c>
      <c r="K49" s="1"/>
      <c r="L49" s="1"/>
      <c r="R49" s="239"/>
      <c r="S49" s="239"/>
      <c r="T49" s="239"/>
      <c r="U49" s="239"/>
      <c r="V49" s="239"/>
      <c r="AK49" s="1"/>
    </row>
    <row r="50" spans="1:37" ht="21" x14ac:dyDescent="0.35">
      <c r="A50" s="1"/>
      <c r="B50" s="231">
        <v>1</v>
      </c>
      <c r="C50" s="231" t="s">
        <v>166</v>
      </c>
      <c r="D50" s="37"/>
      <c r="E50" s="37"/>
      <c r="F50" s="72"/>
      <c r="G50" s="98">
        <f>INDEX('Resistor Values'!$E$4:$E$963,MATCH(D14,'Resistor Values'!$E$4:$E$963,1))</f>
        <v>0.71500000000000008</v>
      </c>
      <c r="H50" s="232" t="s">
        <v>71</v>
      </c>
      <c r="I50" s="73"/>
      <c r="J50" s="1"/>
      <c r="K50" s="1"/>
      <c r="L50" s="1"/>
      <c r="R50" s="239"/>
      <c r="S50" s="239"/>
      <c r="T50" s="239"/>
      <c r="U50" s="239"/>
      <c r="V50" s="239"/>
      <c r="AK50" s="1"/>
    </row>
    <row r="51" spans="1:37" ht="21" x14ac:dyDescent="0.35">
      <c r="A51" s="1"/>
      <c r="B51" s="231">
        <v>1</v>
      </c>
      <c r="C51" s="231" t="s">
        <v>167</v>
      </c>
      <c r="D51" s="37"/>
      <c r="E51" s="37"/>
      <c r="F51" s="72"/>
      <c r="G51" s="98">
        <f>INDEX('Resistor Values'!$H$4:$H$963,MATCH(D15,'Resistor Values'!$H$4:$H$963,-1))</f>
        <v>698</v>
      </c>
      <c r="H51" s="232" t="s">
        <v>71</v>
      </c>
      <c r="I51" s="73"/>
      <c r="J51" s="1"/>
      <c r="K51" s="1"/>
      <c r="L51" s="1"/>
      <c r="R51" s="239"/>
      <c r="S51" s="239"/>
      <c r="T51" s="239"/>
      <c r="U51" s="239"/>
      <c r="V51" s="239"/>
      <c r="AK51" s="1"/>
    </row>
    <row r="52" spans="1:37" ht="21" x14ac:dyDescent="0.35">
      <c r="A52" s="1"/>
      <c r="B52" s="231">
        <v>1</v>
      </c>
      <c r="C52" s="231" t="s">
        <v>172</v>
      </c>
      <c r="D52" s="37"/>
      <c r="E52" s="37"/>
      <c r="F52" s="72"/>
      <c r="G52" s="98">
        <f>INDEX('Resistor Values'!$H$4:$H$963,MATCH(D20,'Resistor Values'!$H$4:$H$963,-1))</f>
        <v>154</v>
      </c>
      <c r="H52" s="232" t="s">
        <v>71</v>
      </c>
      <c r="I52" s="73"/>
      <c r="J52" s="1"/>
      <c r="K52" s="1"/>
      <c r="L52" s="1"/>
      <c r="R52" s="239"/>
      <c r="S52" s="239"/>
      <c r="T52" s="239"/>
      <c r="U52" s="239"/>
      <c r="V52" s="239"/>
      <c r="AK52" s="1"/>
    </row>
    <row r="53" spans="1:37" ht="21" x14ac:dyDescent="0.35">
      <c r="A53" s="1"/>
      <c r="B53" s="231">
        <v>1</v>
      </c>
      <c r="C53" s="231" t="s">
        <v>194</v>
      </c>
      <c r="D53" s="37"/>
      <c r="E53" s="37"/>
      <c r="F53" s="72"/>
      <c r="G53" s="90">
        <f>INDEX('Resistor Values'!$E$4:$E$963,MATCH('Loop Stability Worksht'!D28,'Resistor Values'!$E$4:$E$963,1))</f>
        <v>44.20000000000001</v>
      </c>
      <c r="H53" s="232" t="s">
        <v>71</v>
      </c>
      <c r="I53" s="73"/>
      <c r="J53" s="1"/>
      <c r="K53" s="1"/>
      <c r="L53" s="1"/>
      <c r="R53" s="239"/>
      <c r="S53" s="239"/>
      <c r="T53" s="239"/>
      <c r="U53" s="239"/>
      <c r="V53" s="239"/>
      <c r="AK53" s="1"/>
    </row>
    <row r="54" spans="1:37" ht="21" x14ac:dyDescent="0.35">
      <c r="A54" s="1"/>
      <c r="B54" s="231">
        <v>1</v>
      </c>
      <c r="C54" s="231" t="s">
        <v>195</v>
      </c>
      <c r="D54" s="37"/>
      <c r="E54" s="37"/>
      <c r="F54" s="72"/>
      <c r="G54" s="90">
        <f>INDEX('Resistor Values'!$E$4:$E$963,MATCH('Loop Stability Worksht'!D27,'Resistor Values'!$E$4:$E$963,1))</f>
        <v>10</v>
      </c>
      <c r="H54" s="232" t="s">
        <v>71</v>
      </c>
      <c r="I54" s="73"/>
      <c r="J54" s="1"/>
      <c r="K54" s="1"/>
      <c r="L54" s="1"/>
      <c r="R54" s="239"/>
      <c r="S54" s="239"/>
      <c r="T54" s="239"/>
      <c r="U54" s="239"/>
      <c r="V54" s="239"/>
      <c r="AK54" s="1"/>
    </row>
    <row r="55" spans="1:37" ht="21" x14ac:dyDescent="0.35">
      <c r="A55" s="1"/>
      <c r="B55" s="231">
        <v>1</v>
      </c>
      <c r="C55" s="231" t="s">
        <v>286</v>
      </c>
      <c r="D55" s="37"/>
      <c r="E55" s="37"/>
      <c r="F55" s="72"/>
      <c r="G55" s="90">
        <f>INDEX('Resistor Values'!$E$4:$E$963,MATCH('Loop Stability Worksht'!D25,'Resistor Values'!$E$4:$E$963,1))</f>
        <v>1.18</v>
      </c>
      <c r="H55" s="232" t="s">
        <v>71</v>
      </c>
      <c r="I55" s="73"/>
      <c r="J55" s="1"/>
      <c r="K55" s="1"/>
      <c r="L55" s="1"/>
      <c r="R55" s="239"/>
      <c r="S55" s="239"/>
      <c r="T55" s="239"/>
      <c r="U55" s="239"/>
      <c r="V55" s="239"/>
      <c r="AK55" s="1"/>
    </row>
    <row r="56" spans="1:37" ht="21" x14ac:dyDescent="0.35">
      <c r="A56" s="1"/>
      <c r="B56" s="231">
        <v>1</v>
      </c>
      <c r="C56" s="231" t="s">
        <v>285</v>
      </c>
      <c r="D56" s="37"/>
      <c r="E56" s="37"/>
      <c r="F56" s="72"/>
      <c r="G56" s="98">
        <f>INDEX('Resistor Values'!$E$4:$E$963,MATCH('Loop Stability Worksht'!D24,'Resistor Values'!$E$4:$E$963,1))</f>
        <v>6.81</v>
      </c>
      <c r="H56" s="232" t="s">
        <v>71</v>
      </c>
      <c r="I56" s="73"/>
      <c r="J56" s="1"/>
      <c r="K56" s="1"/>
      <c r="L56" s="1"/>
      <c r="M56" s="1"/>
      <c r="N56" s="1"/>
      <c r="O56" s="1"/>
      <c r="P56" s="1"/>
      <c r="Q56" s="1"/>
      <c r="R56" s="65"/>
      <c r="S56" s="65"/>
      <c r="T56" s="65"/>
      <c r="U56" s="65"/>
      <c r="V56" s="65"/>
      <c r="W56" s="1"/>
      <c r="X56" s="1"/>
      <c r="Y56" s="1"/>
      <c r="Z56" s="1"/>
      <c r="AA56" s="1"/>
      <c r="AB56" s="1"/>
      <c r="AC56" s="1"/>
      <c r="AD56" s="1"/>
      <c r="AE56" s="1"/>
      <c r="AF56" s="1"/>
      <c r="AG56" s="1"/>
      <c r="AH56" s="1"/>
      <c r="AI56" s="1"/>
      <c r="AJ56" s="1"/>
      <c r="AK56" s="1"/>
    </row>
    <row r="57" spans="1:37" ht="21" x14ac:dyDescent="0.35">
      <c r="A57" s="1"/>
      <c r="B57" s="100">
        <v>1</v>
      </c>
      <c r="C57" s="100" t="s">
        <v>185</v>
      </c>
      <c r="D57" s="37"/>
      <c r="E57" s="37"/>
      <c r="F57" s="72"/>
      <c r="G57" s="100" t="s">
        <v>202</v>
      </c>
      <c r="H57" s="101" t="s">
        <v>71</v>
      </c>
      <c r="I57" s="73"/>
      <c r="J57" s="1"/>
      <c r="K57" s="1"/>
      <c r="L57" s="1"/>
      <c r="M57" s="1"/>
      <c r="N57" s="1"/>
      <c r="O57" s="1"/>
      <c r="P57" s="1"/>
      <c r="Q57" s="1"/>
      <c r="R57" s="65"/>
      <c r="S57" s="65"/>
      <c r="T57" s="65"/>
      <c r="U57" s="65"/>
      <c r="V57" s="65"/>
      <c r="W57" s="1"/>
      <c r="X57" s="1"/>
      <c r="Y57" s="1"/>
      <c r="Z57" s="1"/>
      <c r="AA57" s="1"/>
      <c r="AB57" s="1"/>
      <c r="AC57" s="1"/>
      <c r="AD57" s="1"/>
      <c r="AE57" s="1"/>
      <c r="AF57" s="1"/>
      <c r="AG57" s="1"/>
      <c r="AH57" s="1"/>
      <c r="AI57" s="1"/>
      <c r="AJ57" s="1"/>
      <c r="AK57" s="1"/>
    </row>
    <row r="58" spans="1:37" ht="21" x14ac:dyDescent="0.35">
      <c r="A58" s="1"/>
      <c r="B58" s="110">
        <v>1</v>
      </c>
      <c r="C58" s="110" t="s">
        <v>284</v>
      </c>
      <c r="D58" s="37"/>
      <c r="E58" s="37"/>
      <c r="F58" s="72"/>
      <c r="G58" s="98">
        <f>INDEX('Resistor Values'!$E$4:$E$963,MATCH('Loop Stability Worksht'!D31,'Resistor Values'!$E$4:$E$963,1))</f>
        <v>0.1</v>
      </c>
      <c r="H58" s="109" t="s">
        <v>71</v>
      </c>
      <c r="I58" s="73"/>
      <c r="J58" s="1"/>
      <c r="K58" s="1"/>
      <c r="L58" s="1"/>
      <c r="M58" s="1"/>
      <c r="N58" s="1"/>
      <c r="O58" s="1"/>
      <c r="P58" s="1"/>
      <c r="Q58" s="1"/>
      <c r="R58" s="65"/>
      <c r="S58" s="65"/>
      <c r="T58" s="65"/>
      <c r="U58" s="65"/>
      <c r="V58" s="65"/>
      <c r="W58" s="1"/>
      <c r="X58" s="1"/>
      <c r="Y58" s="1"/>
      <c r="Z58" s="1"/>
      <c r="AA58" s="1"/>
      <c r="AB58" s="1"/>
      <c r="AC58" s="1"/>
      <c r="AD58" s="1"/>
      <c r="AE58" s="1"/>
      <c r="AF58" s="1"/>
      <c r="AG58" s="1"/>
      <c r="AH58" s="1"/>
      <c r="AI58" s="1"/>
      <c r="AJ58" s="1"/>
      <c r="AK58" s="1"/>
    </row>
    <row r="59" spans="1:37" ht="21" x14ac:dyDescent="0.35">
      <c r="A59" s="1"/>
      <c r="B59" s="100">
        <v>1</v>
      </c>
      <c r="C59" s="100" t="s">
        <v>186</v>
      </c>
      <c r="D59" s="100"/>
      <c r="E59" s="37"/>
      <c r="F59" s="72"/>
      <c r="G59" s="420" t="s">
        <v>319</v>
      </c>
      <c r="H59" s="421"/>
      <c r="I59" s="77"/>
      <c r="J59" s="1"/>
      <c r="K59" s="1"/>
      <c r="L59" s="1"/>
      <c r="M59" s="1"/>
      <c r="N59" s="1"/>
      <c r="O59" s="1"/>
      <c r="P59" s="1"/>
      <c r="Q59" s="1"/>
      <c r="R59" s="65"/>
      <c r="S59" s="65"/>
      <c r="T59" s="65"/>
      <c r="U59" s="65"/>
      <c r="V59" s="65"/>
      <c r="W59" s="1"/>
      <c r="X59" s="1"/>
      <c r="Y59" s="1"/>
      <c r="Z59" s="1"/>
      <c r="AA59" s="1"/>
      <c r="AB59" s="1"/>
      <c r="AC59" s="1"/>
      <c r="AD59" s="1"/>
      <c r="AE59" s="1"/>
      <c r="AF59" s="1"/>
      <c r="AG59" s="1"/>
      <c r="AH59" s="1"/>
      <c r="AI59" s="1"/>
      <c r="AJ59" s="1"/>
      <c r="AK59" s="1"/>
    </row>
    <row r="60" spans="1:37" x14ac:dyDescent="0.25">
      <c r="A60" s="1"/>
      <c r="B60" s="66"/>
      <c r="C60" s="66"/>
      <c r="D60" s="66"/>
      <c r="E60" s="66"/>
      <c r="F60" s="66"/>
      <c r="G60" s="65"/>
      <c r="H60" s="1"/>
      <c r="I60" s="1"/>
      <c r="J60" s="1"/>
      <c r="K60" s="1"/>
      <c r="L60" s="1"/>
      <c r="M60" s="1"/>
      <c r="N60" s="1"/>
      <c r="O60" s="1"/>
      <c r="P60" s="1"/>
      <c r="Q60" s="1"/>
      <c r="R60" s="65"/>
      <c r="S60" s="65"/>
      <c r="T60" s="65"/>
      <c r="U60" s="65"/>
      <c r="V60" s="65"/>
      <c r="W60" s="1"/>
      <c r="X60" s="1"/>
      <c r="Y60" s="1"/>
      <c r="Z60" s="1"/>
      <c r="AA60" s="1"/>
      <c r="AB60" s="1"/>
      <c r="AC60" s="1"/>
      <c r="AD60" s="1"/>
      <c r="AE60" s="1"/>
      <c r="AF60" s="1"/>
      <c r="AG60" s="1"/>
      <c r="AH60" s="1"/>
      <c r="AI60" s="1"/>
      <c r="AJ60" s="1"/>
      <c r="AK60" s="1"/>
    </row>
    <row r="61" spans="1:37" ht="26.25" x14ac:dyDescent="0.25">
      <c r="A61" s="1"/>
      <c r="B61" s="424" t="s">
        <v>322</v>
      </c>
      <c r="C61" s="424"/>
      <c r="D61" s="424"/>
      <c r="E61" s="424"/>
      <c r="F61" s="424"/>
      <c r="G61" s="424"/>
      <c r="H61" s="424"/>
      <c r="I61" s="424"/>
      <c r="J61" s="1"/>
      <c r="K61" s="1"/>
      <c r="L61" s="1"/>
      <c r="M61" s="1"/>
      <c r="N61" s="1"/>
      <c r="O61" s="1"/>
      <c r="P61" s="1"/>
      <c r="Q61" s="1"/>
      <c r="R61" s="65"/>
      <c r="S61" s="65"/>
      <c r="T61" s="65"/>
      <c r="U61" s="65"/>
      <c r="V61" s="65"/>
      <c r="W61" s="1"/>
      <c r="X61" s="1"/>
      <c r="Y61" s="1"/>
      <c r="Z61" s="1"/>
      <c r="AA61" s="1"/>
      <c r="AB61" s="1"/>
      <c r="AC61" s="1"/>
      <c r="AD61" s="1"/>
      <c r="AE61" s="1"/>
      <c r="AF61" s="1"/>
      <c r="AG61" s="1"/>
      <c r="AH61" s="1"/>
      <c r="AI61" s="1"/>
      <c r="AJ61" s="1"/>
      <c r="AK61" s="1"/>
    </row>
    <row r="62" spans="1:37" ht="23.25" x14ac:dyDescent="0.25">
      <c r="A62" s="1"/>
      <c r="B62" s="425" t="s">
        <v>323</v>
      </c>
      <c r="C62" s="426"/>
      <c r="D62" s="426"/>
      <c r="E62" s="426"/>
      <c r="F62" s="426"/>
      <c r="G62" s="426"/>
      <c r="H62" s="426"/>
      <c r="I62" s="426"/>
      <c r="J62" s="1"/>
      <c r="K62" s="1"/>
      <c r="L62" s="1"/>
      <c r="M62" s="1"/>
      <c r="N62" s="1"/>
      <c r="O62" s="1"/>
      <c r="P62" s="1"/>
      <c r="Q62" s="1"/>
      <c r="R62" s="65"/>
      <c r="S62" s="65"/>
      <c r="T62" s="65"/>
      <c r="U62" s="65"/>
      <c r="V62" s="65"/>
      <c r="W62" s="1"/>
      <c r="X62" s="1"/>
      <c r="Y62" s="1"/>
      <c r="Z62" s="1"/>
      <c r="AA62" s="1"/>
      <c r="AB62" s="1"/>
      <c r="AC62" s="1"/>
      <c r="AD62" s="1"/>
      <c r="AE62" s="1"/>
      <c r="AF62" s="1"/>
      <c r="AG62" s="1"/>
      <c r="AH62" s="1"/>
      <c r="AI62" s="1"/>
      <c r="AJ62" s="1"/>
      <c r="AK62" s="1"/>
    </row>
    <row r="63" spans="1:37" x14ac:dyDescent="0.25">
      <c r="A63" s="1"/>
      <c r="B63" s="66"/>
      <c r="C63" s="66"/>
      <c r="D63" s="66"/>
      <c r="E63" s="66"/>
      <c r="F63" s="66"/>
      <c r="G63" s="65"/>
      <c r="H63" s="1"/>
      <c r="I63" s="1"/>
      <c r="J63" s="1"/>
      <c r="K63" s="1"/>
      <c r="L63" s="1"/>
      <c r="M63" s="1"/>
      <c r="N63" s="1"/>
      <c r="O63" s="1"/>
      <c r="P63" s="1"/>
      <c r="Q63" s="1"/>
      <c r="R63" s="65"/>
      <c r="S63" s="65"/>
      <c r="T63" s="65"/>
      <c r="U63" s="65"/>
      <c r="V63" s="65"/>
      <c r="W63" s="1"/>
      <c r="X63" s="1"/>
      <c r="Y63" s="1"/>
      <c r="Z63" s="1"/>
      <c r="AA63" s="1"/>
      <c r="AB63" s="1"/>
      <c r="AC63" s="1"/>
      <c r="AD63" s="1"/>
      <c r="AE63" s="1"/>
      <c r="AF63" s="1"/>
      <c r="AG63" s="1"/>
      <c r="AH63" s="1"/>
      <c r="AI63" s="1"/>
      <c r="AJ63" s="1"/>
      <c r="AK63" s="1"/>
    </row>
    <row r="64" spans="1:37" x14ac:dyDescent="0.25">
      <c r="A64" s="1"/>
      <c r="B64" s="66"/>
      <c r="C64" s="66"/>
      <c r="D64" s="66"/>
      <c r="E64" s="66"/>
      <c r="F64" s="66"/>
      <c r="G64" s="65"/>
      <c r="H64" s="1"/>
      <c r="I64" s="1"/>
      <c r="J64" s="1"/>
      <c r="K64" s="1"/>
      <c r="L64" s="1"/>
      <c r="M64" s="1"/>
      <c r="N64" s="1"/>
      <c r="O64" s="1"/>
      <c r="P64" s="1"/>
      <c r="Q64" s="1"/>
      <c r="R64" s="65"/>
      <c r="S64" s="65"/>
      <c r="T64" s="65"/>
      <c r="U64" s="65"/>
      <c r="V64" s="65"/>
      <c r="W64" s="1"/>
      <c r="X64" s="1"/>
      <c r="Y64" s="1"/>
      <c r="Z64" s="1"/>
      <c r="AA64" s="1"/>
      <c r="AB64" s="1"/>
      <c r="AC64" s="1"/>
      <c r="AD64" s="1"/>
      <c r="AE64" s="1"/>
      <c r="AF64" s="1"/>
      <c r="AG64" s="1"/>
      <c r="AH64" s="1"/>
      <c r="AI64" s="1"/>
      <c r="AJ64" s="1"/>
      <c r="AK64" s="1"/>
    </row>
  </sheetData>
  <mergeCells count="31">
    <mergeCell ref="C11:E11"/>
    <mergeCell ref="C6:E6"/>
    <mergeCell ref="C18:E18"/>
    <mergeCell ref="F16:G16"/>
    <mergeCell ref="F19:J19"/>
    <mergeCell ref="U21:AA23"/>
    <mergeCell ref="G25:H25"/>
    <mergeCell ref="D25:F25"/>
    <mergeCell ref="G33:H33"/>
    <mergeCell ref="G26:H26"/>
    <mergeCell ref="G27:H27"/>
    <mergeCell ref="B62:I62"/>
    <mergeCell ref="B34:B35"/>
    <mergeCell ref="C34:C35"/>
    <mergeCell ref="D34:F35"/>
    <mergeCell ref="D42:F42"/>
    <mergeCell ref="B43:B44"/>
    <mergeCell ref="C43:C44"/>
    <mergeCell ref="D43:F44"/>
    <mergeCell ref="B40:B41"/>
    <mergeCell ref="C40:C41"/>
    <mergeCell ref="D40:F41"/>
    <mergeCell ref="B38:B39"/>
    <mergeCell ref="C36:C37"/>
    <mergeCell ref="D36:F37"/>
    <mergeCell ref="C38:C39"/>
    <mergeCell ref="D38:F39"/>
    <mergeCell ref="B36:B37"/>
    <mergeCell ref="G59:H59"/>
    <mergeCell ref="G45:H45"/>
    <mergeCell ref="B61:I61"/>
  </mergeCells>
  <dataValidations count="2">
    <dataValidation type="decimal" errorStyle="warning" allowBlank="1" showInputMessage="1" showErrorMessage="1" errorTitle="ZCD Voltage" error="Ideal Values for ZCD are between 1V and 12V" promptTitle="ZCD Voltage" prompt="Ideal Values for ZCD are between 1V and 12V" sqref="D12">
      <formula1>3</formula1>
      <formula2>12</formula2>
    </dataValidation>
    <dataValidation type="decimal" operator="greaterThanOrEqual" allowBlank="1" showInputMessage="1" showErrorMessage="1" promptTitle="External Propagation Delay" prompt="External propagation delay from CS to rising drain voltage." sqref="D9">
      <formula1>0</formula1>
    </dataValidation>
  </dataValidation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3"/>
  <sheetViews>
    <sheetView showGridLines="0" topLeftCell="A13" workbookViewId="0">
      <selection activeCell="L28" sqref="L28"/>
    </sheetView>
  </sheetViews>
  <sheetFormatPr defaultRowHeight="15" x14ac:dyDescent="0.25"/>
  <cols>
    <col min="3" max="3" width="34.5703125" customWidth="1"/>
    <col min="4" max="4" width="9.140625" style="33"/>
    <col min="5" max="5" width="11.85546875" style="33" customWidth="1"/>
    <col min="7" max="7" width="35.140625" style="2" customWidth="1"/>
  </cols>
  <sheetData>
    <row r="1" spans="1:12" ht="15" customHeight="1" x14ac:dyDescent="0.25">
      <c r="B1" s="38"/>
      <c r="C1" s="447" t="s">
        <v>84</v>
      </c>
      <c r="D1" s="448"/>
      <c r="E1" s="448"/>
      <c r="F1" s="448"/>
      <c r="G1" s="449"/>
      <c r="H1" s="38"/>
      <c r="I1" s="38"/>
      <c r="J1" s="38"/>
      <c r="K1" s="38"/>
      <c r="L1" s="38"/>
    </row>
    <row r="2" spans="1:12" ht="15" customHeight="1" x14ac:dyDescent="0.25">
      <c r="A2" s="38"/>
      <c r="B2" s="38"/>
      <c r="C2" s="450"/>
      <c r="D2" s="451"/>
      <c r="E2" s="451"/>
      <c r="F2" s="451"/>
      <c r="G2" s="452"/>
      <c r="H2" s="38"/>
      <c r="I2" s="38"/>
      <c r="J2" s="38"/>
      <c r="K2" s="38"/>
      <c r="L2" s="38"/>
    </row>
    <row r="3" spans="1:12" ht="15" customHeight="1" x14ac:dyDescent="0.25">
      <c r="A3" s="38"/>
      <c r="B3" s="38"/>
      <c r="C3" s="450"/>
      <c r="D3" s="451"/>
      <c r="E3" s="451"/>
      <c r="F3" s="451"/>
      <c r="G3" s="452"/>
      <c r="H3" s="38"/>
      <c r="I3" s="38"/>
      <c r="J3" s="38"/>
      <c r="K3" s="38"/>
      <c r="L3" s="38"/>
    </row>
    <row r="4" spans="1:12" ht="15" customHeight="1" x14ac:dyDescent="0.25">
      <c r="A4" s="38"/>
      <c r="B4" s="38"/>
      <c r="C4" s="450"/>
      <c r="D4" s="451"/>
      <c r="E4" s="451"/>
      <c r="F4" s="451"/>
      <c r="G4" s="452"/>
      <c r="H4" s="38"/>
      <c r="I4" s="38"/>
      <c r="J4" s="38"/>
      <c r="K4" s="38"/>
      <c r="L4" s="38"/>
    </row>
    <row r="5" spans="1:12" ht="15" customHeight="1" x14ac:dyDescent="0.25">
      <c r="A5" s="38"/>
      <c r="B5" s="38"/>
      <c r="C5" s="273"/>
      <c r="D5" s="274"/>
      <c r="E5" s="275"/>
      <c r="F5" s="275"/>
      <c r="G5" s="276"/>
      <c r="H5" s="38"/>
      <c r="I5" s="38"/>
      <c r="J5" s="38"/>
      <c r="K5" s="38"/>
      <c r="L5" s="38"/>
    </row>
    <row r="6" spans="1:12" ht="21" x14ac:dyDescent="0.35">
      <c r="C6" s="453" t="s">
        <v>85</v>
      </c>
      <c r="D6" s="454"/>
      <c r="E6" s="454"/>
      <c r="F6" s="454"/>
      <c r="G6" s="455"/>
      <c r="H6" s="34"/>
    </row>
    <row r="7" spans="1:12" ht="21" x14ac:dyDescent="0.35">
      <c r="C7" s="453" t="s">
        <v>2</v>
      </c>
      <c r="D7" s="454"/>
      <c r="E7" s="454"/>
      <c r="F7" s="454"/>
      <c r="G7" s="455"/>
      <c r="H7" s="34"/>
    </row>
    <row r="8" spans="1:12" x14ac:dyDescent="0.25">
      <c r="C8" s="277"/>
      <c r="D8" s="278"/>
      <c r="E8" s="278"/>
      <c r="F8" s="279"/>
      <c r="G8" s="280"/>
    </row>
    <row r="9" spans="1:12" s="35" customFormat="1" ht="15.75" x14ac:dyDescent="0.25">
      <c r="C9" s="444" t="s">
        <v>105</v>
      </c>
      <c r="D9" s="445"/>
      <c r="E9" s="445"/>
      <c r="F9" s="445"/>
      <c r="G9" s="446"/>
    </row>
    <row r="10" spans="1:12" x14ac:dyDescent="0.25">
      <c r="C10" s="444"/>
      <c r="D10" s="445"/>
      <c r="E10" s="445"/>
      <c r="F10" s="445"/>
      <c r="G10" s="446"/>
    </row>
    <row r="11" spans="1:12" x14ac:dyDescent="0.25">
      <c r="C11" s="444"/>
      <c r="D11" s="445"/>
      <c r="E11" s="445"/>
      <c r="F11" s="445"/>
      <c r="G11" s="446"/>
    </row>
    <row r="12" spans="1:12" x14ac:dyDescent="0.25">
      <c r="C12" s="444"/>
      <c r="D12" s="445"/>
      <c r="E12" s="445"/>
      <c r="F12" s="445"/>
      <c r="G12" s="446"/>
    </row>
    <row r="13" spans="1:12" x14ac:dyDescent="0.25">
      <c r="C13" s="277"/>
      <c r="D13" s="278"/>
      <c r="E13" s="278"/>
      <c r="F13" s="279"/>
      <c r="G13" s="280"/>
    </row>
    <row r="14" spans="1:12" x14ac:dyDescent="0.25">
      <c r="C14" s="277"/>
      <c r="D14" s="278"/>
      <c r="E14" s="278"/>
      <c r="F14" s="279"/>
      <c r="G14" s="280"/>
    </row>
    <row r="15" spans="1:12" x14ac:dyDescent="0.25">
      <c r="C15" s="277"/>
      <c r="D15" s="278"/>
      <c r="E15" s="278"/>
      <c r="F15" s="279"/>
      <c r="G15" s="280"/>
    </row>
    <row r="16" spans="1:12" ht="15.75" x14ac:dyDescent="0.25">
      <c r="C16" s="281" t="s">
        <v>86</v>
      </c>
      <c r="D16" s="282" t="s">
        <v>87</v>
      </c>
      <c r="E16" s="282" t="s">
        <v>88</v>
      </c>
      <c r="F16" s="282" t="s">
        <v>89</v>
      </c>
      <c r="G16" s="283" t="s">
        <v>90</v>
      </c>
    </row>
    <row r="17" spans="3:7" x14ac:dyDescent="0.25">
      <c r="C17" s="284"/>
      <c r="D17" s="285"/>
      <c r="E17" s="285"/>
      <c r="F17" s="286"/>
      <c r="G17" s="287"/>
    </row>
    <row r="18" spans="3:7" x14ac:dyDescent="0.25">
      <c r="C18" s="284" t="s">
        <v>93</v>
      </c>
      <c r="D18" s="285"/>
      <c r="E18" s="288">
        <f>'Step 2 - Operating Conditions'!C44</f>
        <v>120</v>
      </c>
      <c r="F18" s="286"/>
      <c r="G18" s="287"/>
    </row>
    <row r="19" spans="3:7" x14ac:dyDescent="0.25">
      <c r="C19" s="284" t="s">
        <v>99</v>
      </c>
      <c r="D19" s="285"/>
      <c r="E19" s="289"/>
      <c r="F19" s="290">
        <f>E18*'Step 2 - Operating Conditions'!J18</f>
        <v>1.2</v>
      </c>
      <c r="G19" s="287" t="s">
        <v>96</v>
      </c>
    </row>
    <row r="20" spans="3:7" x14ac:dyDescent="0.25">
      <c r="C20" s="284" t="s">
        <v>61</v>
      </c>
      <c r="D20" s="285"/>
      <c r="E20" s="285"/>
      <c r="F20" s="290">
        <f>'Step 2 - Operating Conditions'!J27*SQRT('Step 2 - Operating Conditions'!J11)</f>
        <v>4.4699789593457098</v>
      </c>
      <c r="G20" s="287"/>
    </row>
    <row r="21" spans="3:7" x14ac:dyDescent="0.25">
      <c r="C21" s="284"/>
      <c r="D21" s="285"/>
      <c r="E21" s="285"/>
      <c r="F21" s="286"/>
      <c r="G21" s="287"/>
    </row>
    <row r="22" spans="3:7" x14ac:dyDescent="0.25">
      <c r="C22" s="284" t="s">
        <v>106</v>
      </c>
      <c r="D22" s="285">
        <v>200</v>
      </c>
      <c r="E22" s="285"/>
      <c r="F22" s="286"/>
      <c r="G22" s="287" t="s">
        <v>107</v>
      </c>
    </row>
    <row r="23" spans="3:7" x14ac:dyDescent="0.25">
      <c r="C23" s="284"/>
      <c r="D23" s="285"/>
      <c r="E23" s="285"/>
      <c r="F23" s="286"/>
      <c r="G23" s="287"/>
    </row>
    <row r="24" spans="3:7" x14ac:dyDescent="0.25">
      <c r="C24" s="284" t="s">
        <v>94</v>
      </c>
      <c r="D24" s="285"/>
      <c r="E24" s="290">
        <f>'Step 2 - Operating Conditions'!I27</f>
        <v>1.566154260793575</v>
      </c>
      <c r="F24" s="286"/>
      <c r="G24" s="287"/>
    </row>
    <row r="25" spans="3:7" x14ac:dyDescent="0.25">
      <c r="C25" s="284" t="s">
        <v>95</v>
      </c>
      <c r="D25" s="285"/>
      <c r="E25" s="290">
        <f>'Step 2 - Operating Conditions'!F44</f>
        <v>13.271559884303183</v>
      </c>
      <c r="F25" s="286"/>
      <c r="G25" s="287"/>
    </row>
    <row r="26" spans="3:7" x14ac:dyDescent="0.25">
      <c r="C26" s="284"/>
      <c r="D26" s="285"/>
      <c r="E26" s="290"/>
      <c r="F26" s="286"/>
      <c r="G26" s="287"/>
    </row>
    <row r="27" spans="3:7" x14ac:dyDescent="0.25">
      <c r="C27" s="284" t="s">
        <v>108</v>
      </c>
      <c r="D27" s="285"/>
      <c r="E27" s="288">
        <f>'Step 2 - Operating Conditions'!J44</f>
        <v>192.5</v>
      </c>
      <c r="F27" s="286"/>
      <c r="G27" s="287"/>
    </row>
    <row r="28" spans="3:7" x14ac:dyDescent="0.25">
      <c r="C28" s="284" t="s">
        <v>109</v>
      </c>
      <c r="D28" s="285"/>
      <c r="E28" s="291">
        <f>E27/(E30*E30)</f>
        <v>3.9285714285714284</v>
      </c>
      <c r="F28" s="286"/>
      <c r="G28" s="287"/>
    </row>
    <row r="29" spans="3:7" x14ac:dyDescent="0.25">
      <c r="C29" s="284"/>
      <c r="D29" s="285"/>
      <c r="E29" s="285"/>
      <c r="F29" s="286"/>
      <c r="G29" s="287"/>
    </row>
    <row r="30" spans="3:7" x14ac:dyDescent="0.25">
      <c r="C30" s="284" t="s">
        <v>91</v>
      </c>
      <c r="D30" s="285"/>
      <c r="E30" s="285">
        <f>'Step 2 - Operating Conditions'!G50</f>
        <v>7</v>
      </c>
      <c r="F30" s="286"/>
      <c r="G30" s="287"/>
    </row>
    <row r="31" spans="3:7" x14ac:dyDescent="0.25">
      <c r="C31" s="284" t="s">
        <v>92</v>
      </c>
      <c r="D31" s="285"/>
      <c r="E31" s="285">
        <f>'Step 2 - Operating Conditions'!H52</f>
        <v>7</v>
      </c>
      <c r="F31" s="286"/>
      <c r="G31" s="287"/>
    </row>
    <row r="32" spans="3:7" x14ac:dyDescent="0.25">
      <c r="C32" s="284"/>
      <c r="D32" s="285"/>
      <c r="E32" s="285"/>
      <c r="F32" s="286"/>
      <c r="G32" s="287"/>
    </row>
    <row r="33" spans="3:7" x14ac:dyDescent="0.25">
      <c r="C33" s="284"/>
      <c r="D33" s="285"/>
      <c r="E33" s="285"/>
      <c r="F33" s="286"/>
      <c r="G33" s="287"/>
    </row>
    <row r="34" spans="3:7" x14ac:dyDescent="0.25">
      <c r="C34" s="284" t="s">
        <v>100</v>
      </c>
      <c r="D34" s="292">
        <v>0</v>
      </c>
      <c r="E34" s="292"/>
      <c r="F34" s="292">
        <v>105</v>
      </c>
      <c r="G34" s="287"/>
    </row>
    <row r="35" spans="3:7" x14ac:dyDescent="0.25">
      <c r="C35" s="284" t="s">
        <v>102</v>
      </c>
      <c r="D35" s="292">
        <v>0</v>
      </c>
      <c r="E35" s="292"/>
      <c r="F35" s="292">
        <v>50</v>
      </c>
      <c r="G35" s="287"/>
    </row>
    <row r="36" spans="3:7" x14ac:dyDescent="0.25">
      <c r="C36" s="284"/>
      <c r="D36" s="292"/>
      <c r="E36" s="292"/>
      <c r="F36" s="292"/>
      <c r="G36" s="287"/>
    </row>
    <row r="37" spans="3:7" x14ac:dyDescent="0.25">
      <c r="C37" s="284" t="s">
        <v>115</v>
      </c>
      <c r="D37" s="292">
        <f>'Step 2 - Operating Conditions'!E17</f>
        <v>125</v>
      </c>
      <c r="E37" s="292"/>
      <c r="F37" s="293">
        <f>'Step 2 - Operating Conditions'!D33</f>
        <v>199.59971471202081</v>
      </c>
      <c r="G37" s="287" t="s">
        <v>34</v>
      </c>
    </row>
    <row r="38" spans="3:7" x14ac:dyDescent="0.25">
      <c r="C38" s="284"/>
      <c r="D38" s="285"/>
      <c r="E38" s="285"/>
      <c r="F38" s="286"/>
      <c r="G38" s="287"/>
    </row>
    <row r="39" spans="3:7" x14ac:dyDescent="0.25">
      <c r="C39" s="284" t="s">
        <v>97</v>
      </c>
      <c r="D39" s="285"/>
      <c r="E39" s="285"/>
      <c r="F39" s="286"/>
      <c r="G39" s="287" t="s">
        <v>101</v>
      </c>
    </row>
    <row r="40" spans="3:7" x14ac:dyDescent="0.25">
      <c r="C40" s="284" t="s">
        <v>110</v>
      </c>
      <c r="D40" s="285" t="s">
        <v>111</v>
      </c>
      <c r="E40" s="285"/>
      <c r="F40" s="286"/>
      <c r="G40" s="287" t="s">
        <v>112</v>
      </c>
    </row>
    <row r="41" spans="3:7" x14ac:dyDescent="0.25">
      <c r="C41" s="284" t="s">
        <v>113</v>
      </c>
      <c r="D41" s="285"/>
      <c r="E41" s="285"/>
      <c r="F41" s="286"/>
      <c r="G41" s="294" t="s">
        <v>114</v>
      </c>
    </row>
    <row r="42" spans="3:7" x14ac:dyDescent="0.25">
      <c r="C42" s="284"/>
      <c r="D42" s="285"/>
      <c r="E42" s="285"/>
      <c r="F42" s="286"/>
      <c r="G42" s="287"/>
    </row>
    <row r="43" spans="3:7" ht="15.75" thickBot="1" x14ac:dyDescent="0.3">
      <c r="C43" s="295" t="s">
        <v>98</v>
      </c>
      <c r="D43" s="296"/>
      <c r="E43" s="296"/>
      <c r="F43" s="296" t="s">
        <v>103</v>
      </c>
      <c r="G43" s="297" t="s">
        <v>104</v>
      </c>
    </row>
  </sheetData>
  <mergeCells count="4">
    <mergeCell ref="C9:G12"/>
    <mergeCell ref="C1:G4"/>
    <mergeCell ref="C6:G6"/>
    <mergeCell ref="C7:G7"/>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C55"/>
  <sheetViews>
    <sheetView zoomScaleNormal="100" workbookViewId="0">
      <selection activeCell="BC1" sqref="BC1:BC1048576"/>
    </sheetView>
  </sheetViews>
  <sheetFormatPr defaultRowHeight="15" x14ac:dyDescent="0.25"/>
  <cols>
    <col min="3" max="3" width="25.5703125" customWidth="1"/>
    <col min="4" max="4" width="14.28515625" style="2" customWidth="1"/>
    <col min="5" max="5" width="14.5703125" style="105" customWidth="1"/>
    <col min="6" max="6" width="14.140625" style="2" customWidth="1"/>
    <col min="7" max="7" width="23.42578125" customWidth="1"/>
    <col min="8" max="9" width="0" hidden="1" customWidth="1"/>
    <col min="10" max="10" width="13" customWidth="1"/>
    <col min="11" max="11" width="14.5703125" hidden="1" customWidth="1"/>
    <col min="12" max="12" width="18.28515625" hidden="1" customWidth="1"/>
    <col min="13" max="15" width="3.7109375" hidden="1" customWidth="1"/>
    <col min="16" max="22" width="10.7109375" hidden="1" customWidth="1"/>
    <col min="23" max="23" width="10.7109375" style="105" hidden="1" customWidth="1"/>
    <col min="24" max="25" width="10.7109375" style="84" hidden="1" customWidth="1"/>
    <col min="26" max="30" width="10.7109375" hidden="1" customWidth="1"/>
    <col min="31" max="32" width="10.7109375" style="83" hidden="1" customWidth="1"/>
    <col min="33" max="36" width="10.7109375" hidden="1" customWidth="1"/>
    <col min="37" max="41" width="10.7109375" style="83" hidden="1" customWidth="1"/>
    <col min="42" max="42" width="10.7109375" hidden="1" customWidth="1"/>
    <col min="43" max="48" width="3.7109375" hidden="1" customWidth="1"/>
    <col min="49" max="50" width="3.7109375" customWidth="1"/>
    <col min="53" max="53" width="22" hidden="1" customWidth="1"/>
    <col min="54" max="54" width="12" hidden="1" customWidth="1"/>
    <col min="55" max="55" width="9.140625" hidden="1" customWidth="1"/>
  </cols>
  <sheetData>
    <row r="1" spans="1:55" x14ac:dyDescent="0.25">
      <c r="A1" s="1"/>
      <c r="B1" s="1"/>
      <c r="C1" s="1"/>
      <c r="D1" s="66"/>
      <c r="E1" s="65"/>
      <c r="F1" s="66"/>
      <c r="G1" s="1"/>
      <c r="H1" s="1"/>
      <c r="J1" s="1"/>
    </row>
    <row r="2" spans="1:55" x14ac:dyDescent="0.25">
      <c r="A2" s="1"/>
      <c r="B2" s="1"/>
      <c r="C2" s="1"/>
      <c r="D2" s="66"/>
      <c r="E2" s="65"/>
      <c r="F2" s="66"/>
      <c r="G2" s="1"/>
      <c r="H2" s="1"/>
      <c r="J2" s="1"/>
      <c r="R2" s="458" t="s">
        <v>209</v>
      </c>
      <c r="S2" s="458"/>
      <c r="T2" s="458"/>
      <c r="U2" s="458"/>
      <c r="V2" s="458"/>
      <c r="W2" s="458"/>
      <c r="X2" s="458"/>
      <c r="Y2" s="458"/>
      <c r="AB2" s="458" t="s">
        <v>234</v>
      </c>
      <c r="AC2" s="458"/>
      <c r="AD2" s="458"/>
      <c r="AE2" s="458"/>
      <c r="AF2" s="458"/>
      <c r="AH2" s="458" t="s">
        <v>244</v>
      </c>
      <c r="AI2" s="458"/>
      <c r="AJ2" s="458"/>
      <c r="AK2" s="458"/>
      <c r="AL2" s="458"/>
      <c r="AM2" s="458"/>
      <c r="AN2" s="458"/>
      <c r="AO2" s="458"/>
      <c r="AR2" s="458" t="s">
        <v>254</v>
      </c>
      <c r="AS2" s="458"/>
      <c r="AT2" s="458"/>
      <c r="AU2" s="458"/>
      <c r="AV2" s="458"/>
    </row>
    <row r="3" spans="1:55" x14ac:dyDescent="0.25">
      <c r="A3" s="1"/>
      <c r="B3" s="1"/>
      <c r="C3" s="1"/>
      <c r="D3" s="66"/>
      <c r="E3" s="65"/>
      <c r="F3" s="66"/>
      <c r="G3" s="1"/>
      <c r="H3" s="1"/>
      <c r="J3" s="1"/>
      <c r="K3" s="458" t="s">
        <v>217</v>
      </c>
      <c r="L3" s="458"/>
      <c r="P3" t="s">
        <v>223</v>
      </c>
      <c r="R3" s="2" t="s">
        <v>224</v>
      </c>
      <c r="S3" s="105" t="s">
        <v>239</v>
      </c>
      <c r="X3" s="84" t="s">
        <v>226</v>
      </c>
      <c r="Y3" s="84" t="s">
        <v>225</v>
      </c>
      <c r="AB3" t="s">
        <v>236</v>
      </c>
      <c r="AC3" s="105"/>
      <c r="AE3" s="83" t="s">
        <v>236</v>
      </c>
      <c r="AF3" s="83" t="s">
        <v>238</v>
      </c>
      <c r="AH3" t="s">
        <v>237</v>
      </c>
      <c r="AK3" s="83" t="s">
        <v>242</v>
      </c>
      <c r="AL3" s="83" t="s">
        <v>243</v>
      </c>
      <c r="AN3" s="83" t="s">
        <v>240</v>
      </c>
      <c r="AO3" s="83" t="s">
        <v>241</v>
      </c>
      <c r="AU3" t="s">
        <v>240</v>
      </c>
      <c r="AV3" t="s">
        <v>241</v>
      </c>
    </row>
    <row r="4" spans="1:55" x14ac:dyDescent="0.25">
      <c r="A4" s="1"/>
      <c r="B4" s="1"/>
      <c r="C4" s="1"/>
      <c r="D4" s="66"/>
      <c r="E4" s="65"/>
      <c r="F4" s="66"/>
      <c r="G4" s="1"/>
      <c r="H4" s="1"/>
      <c r="J4" s="1"/>
      <c r="P4">
        <v>10</v>
      </c>
      <c r="R4" t="str">
        <f t="shared" ref="R4:R25" si="0">IMDIV(COMPLEX(($E$25*$F$21),-$E$25/($F$20*P4)),COMPLEX(($E$25+$F$21),-1/($F$20*P4)))</f>
        <v>1.85061596031741-0.120957139406229i</v>
      </c>
      <c r="S4" t="str">
        <f>IMPRODUCT(R4,$D$12)</f>
        <v>7.21160410927196-0.471353874759693i</v>
      </c>
      <c r="U4">
        <f>IMREAL(S4)</f>
        <v>7.2116041092719598</v>
      </c>
      <c r="V4">
        <f>IMAGINARY(S4)</f>
        <v>-0.47135387475969298</v>
      </c>
      <c r="W4" s="105">
        <f>P4</f>
        <v>10</v>
      </c>
      <c r="X4" s="84">
        <f t="shared" ref="X4:X44" si="1">20*LOG(SQRT(SUMSQ(U4,V4)))</f>
        <v>17.179151058348573</v>
      </c>
      <c r="Y4" s="84">
        <f t="shared" ref="Y4:Y44" si="2">DEGREES(ATAN(V4/U4))</f>
        <v>-3.7395603307106189</v>
      </c>
      <c r="AB4" t="str">
        <f>IMDIV(COMPLEX($F$39,-1/(6.28*$F$37*W4)),COMPLEX(-$F$35,0))</f>
        <v>-0.00221238938053097+74.9555963047491i</v>
      </c>
      <c r="AD4">
        <f>W4</f>
        <v>10</v>
      </c>
      <c r="AE4" s="83">
        <f>20*LOG(SQRT(SUMSQ(IMREAL(AB4),IMAGINARY(AB4))))</f>
        <v>37.496081274097634</v>
      </c>
      <c r="AF4" s="83">
        <f>DEGREES(ATAN(IMAGINARY(AB4)/IMREAL(AB4)))+180</f>
        <v>90.001691142227614</v>
      </c>
      <c r="AH4" t="str">
        <f>IMSUB(AB4,1)</f>
        <v>-1.00221238938053+74.9555963047491i</v>
      </c>
      <c r="AI4" t="str">
        <f>IMPRODUCT(AH4,$D$6,AJ4,$H$24)</f>
        <v>-7.48863433863409+624.627822946986i</v>
      </c>
      <c r="AJ4" t="str">
        <f t="shared" ref="AJ4:AJ25" si="3">IMDIV(COMPLEX(0,-$L$17/(6.28*AD4*($D$17+$D$7)*0.000000001)),COMPLEX($L$17,-1/(6.28*AD4*($D$17+$D$7)*0.000000001)))</f>
        <v>19999.561833992-27.6308420130031i</v>
      </c>
      <c r="AK4" s="83">
        <f>IMREAL(AI4)</f>
        <v>-7.4886343386340899</v>
      </c>
      <c r="AL4" s="83">
        <f t="shared" ref="AL4:AL44" si="4">IMAGINARY(AI4)</f>
        <v>624.62782294698604</v>
      </c>
      <c r="AM4" s="83">
        <f>AT4</f>
        <v>10</v>
      </c>
      <c r="AN4" s="83">
        <f t="shared" ref="AN4:AN44" si="5">20*LOG(SQRT(SUMSQ(AK4,AL4)))</f>
        <v>55.913050692577912</v>
      </c>
      <c r="AO4" s="83">
        <f t="shared" ref="AO4:AO44" si="6">DEGREES(ATAN(AL4/AK4))</f>
        <v>-89.313116434128858</v>
      </c>
      <c r="AR4" t="str">
        <f t="shared" ref="AR4:AR44" si="7">IMPRODUCT(S4,AI4)</f>
        <v>240.415678459445+4508.09837154226i</v>
      </c>
      <c r="AT4">
        <f t="shared" ref="AT4:AT44" si="8">AD4</f>
        <v>10</v>
      </c>
      <c r="AU4">
        <f>20*LOG(SQRT(SUMSQ(IMREAL(AR4),IMAGINARY(AR4))))</f>
        <v>73.092201750926492</v>
      </c>
      <c r="AV4">
        <f>DEGREES(ATAN(IMAGINARY(AR4)/IMREAL(AR4)))</f>
        <v>86.947323235160525</v>
      </c>
    </row>
    <row r="5" spans="1:55" ht="31.5" x14ac:dyDescent="0.25">
      <c r="A5" s="1"/>
      <c r="B5" s="1"/>
      <c r="C5" s="459" t="s">
        <v>207</v>
      </c>
      <c r="D5" s="459"/>
      <c r="E5" s="459"/>
      <c r="F5" s="459"/>
      <c r="G5" s="1"/>
      <c r="I5" s="58"/>
      <c r="J5" s="1"/>
      <c r="K5" t="s">
        <v>211</v>
      </c>
      <c r="L5">
        <v>0.3</v>
      </c>
      <c r="P5">
        <f>P4+10</f>
        <v>20</v>
      </c>
      <c r="R5" t="str">
        <f t="shared" si="0"/>
        <v>1.82711439624459-0.238817230126794i</v>
      </c>
      <c r="S5" t="str">
        <f t="shared" ref="S5:S44" si="9">IMPRODUCT(R5,$D$12)</f>
        <v>7.12002164177135-0.93063896296017i</v>
      </c>
      <c r="U5">
        <f t="shared" ref="U5:U44" si="10">IMREAL(S5)</f>
        <v>7.1200216417713502</v>
      </c>
      <c r="V5">
        <f t="shared" ref="V5:V44" si="11">IMAGINARY(S5)</f>
        <v>-0.93063896296017001</v>
      </c>
      <c r="W5" s="105">
        <f t="shared" ref="W5:W44" si="12">P5</f>
        <v>20</v>
      </c>
      <c r="X5" s="84">
        <f t="shared" si="1"/>
        <v>17.123196223258073</v>
      </c>
      <c r="Y5" s="84">
        <f t="shared" si="2"/>
        <v>-7.4467615800853038</v>
      </c>
      <c r="AB5" t="str">
        <f t="shared" ref="AB5:AB25" si="13">IMDIV(COMPLEX($F$39,-1/(6.28*$F$37*W5)),-$F$35)</f>
        <v>-0.00221238938053097+37.4777981523746i</v>
      </c>
      <c r="AD5">
        <f t="shared" ref="AD5:AD44" si="14">W5</f>
        <v>20</v>
      </c>
      <c r="AE5" s="83">
        <f t="shared" ref="AE5:AE44" si="15">20*LOG(SQRT(SUMSQ(IMREAL(AB5),IMAGINARY(AB5))))</f>
        <v>31.475481372168673</v>
      </c>
      <c r="AF5" s="83">
        <f t="shared" ref="AF5:AF44" si="16">DEGREES(ATAN(IMAGINARY(AB5)/IMREAL(AB5)))+180</f>
        <v>90.003382284452286</v>
      </c>
      <c r="AH5" t="str">
        <f t="shared" ref="AH5:AH44" si="17">IMSUB(AB5,1)</f>
        <v>-1.00221238938053+37.4777981523746i</v>
      </c>
      <c r="AI5" t="str">
        <f t="shared" ref="AI5:AI44" si="18">IMPRODUCT(AH5,$D$6,AJ5,$H$24)</f>
        <v>-7.48859145734411+312.329430490426i</v>
      </c>
      <c r="AJ5" t="str">
        <f t="shared" si="3"/>
        <v>19999.4473128428-55.2613675874955i</v>
      </c>
      <c r="AK5" s="83">
        <f t="shared" ref="AK5:AK44" si="19">IMREAL(AI5)</f>
        <v>-7.4885914573441097</v>
      </c>
      <c r="AL5" s="83">
        <f t="shared" si="4"/>
        <v>312.32943049042598</v>
      </c>
      <c r="AM5" s="83">
        <f t="shared" ref="AM5:AM44" si="20">AT5</f>
        <v>20</v>
      </c>
      <c r="AN5" s="83">
        <f t="shared" si="5"/>
        <v>49.894754124871127</v>
      </c>
      <c r="AO5" s="83">
        <f t="shared" si="6"/>
        <v>-88.626506336717071</v>
      </c>
      <c r="AR5" t="str">
        <f t="shared" si="7"/>
        <v>237.347004050876+2230.76147944185i</v>
      </c>
      <c r="AT5">
        <f t="shared" si="8"/>
        <v>20</v>
      </c>
      <c r="AU5">
        <f t="shared" ref="AU5:AU44" si="21">20*LOG(SQRT(SUMSQ(IMREAL(AR5),IMAGINARY(AR5))))</f>
        <v>67.017950348129204</v>
      </c>
      <c r="AV5">
        <f t="shared" ref="AV5:AV44" si="22">DEGREES(ATAN(IMAGINARY(AR5)/IMREAL(AR5)))</f>
        <v>83.926732083197663</v>
      </c>
    </row>
    <row r="6" spans="1:55" ht="21" x14ac:dyDescent="0.35">
      <c r="A6" s="1"/>
      <c r="B6" s="1"/>
      <c r="C6" s="85" t="s">
        <v>204</v>
      </c>
      <c r="D6" s="86">
        <v>0.5</v>
      </c>
      <c r="E6" s="104"/>
      <c r="F6" s="37"/>
      <c r="G6" s="1"/>
      <c r="J6" s="111"/>
      <c r="P6">
        <f t="shared" ref="P6:P12" si="23">P5+10</f>
        <v>30</v>
      </c>
      <c r="R6" t="str">
        <f t="shared" si="0"/>
        <v>1.78925440019228-0.350742029390751i</v>
      </c>
      <c r="S6" t="str">
        <f t="shared" si="9"/>
        <v>6.97248627572975-1.36679501024885i</v>
      </c>
      <c r="U6">
        <f t="shared" si="10"/>
        <v>6.9724862757297501</v>
      </c>
      <c r="V6">
        <f t="shared" si="11"/>
        <v>-1.36679501024885</v>
      </c>
      <c r="W6" s="105">
        <f t="shared" si="12"/>
        <v>30</v>
      </c>
      <c r="X6" s="84">
        <f t="shared" si="1"/>
        <v>17.031511210560403</v>
      </c>
      <c r="Y6" s="84">
        <f t="shared" si="2"/>
        <v>-11.090880876656113</v>
      </c>
      <c r="AB6" t="str">
        <f t="shared" si="13"/>
        <v>-0.00221238938053097+24.9851987682498i</v>
      </c>
      <c r="AD6">
        <f t="shared" si="14"/>
        <v>30</v>
      </c>
      <c r="AE6" s="83">
        <f t="shared" si="15"/>
        <v>27.953656209972809</v>
      </c>
      <c r="AF6" s="83">
        <f t="shared" si="16"/>
        <v>90.005073426671061</v>
      </c>
      <c r="AH6" t="str">
        <f t="shared" si="17"/>
        <v>-1.00221238938053+24.9851987682498i</v>
      </c>
      <c r="AI6" t="str">
        <f t="shared" si="18"/>
        <v>-7.48851998961883+208.2368634158i</v>
      </c>
      <c r="AJ6" t="str">
        <f t="shared" si="3"/>
        <v>19999.2564471754-82.8912602970463i</v>
      </c>
      <c r="AK6" s="83">
        <f t="shared" si="19"/>
        <v>-7.4885199896188297</v>
      </c>
      <c r="AL6" s="83">
        <f t="shared" si="4"/>
        <v>208.2368634158</v>
      </c>
      <c r="AM6" s="83">
        <f t="shared" si="20"/>
        <v>30</v>
      </c>
      <c r="AN6" s="83">
        <f t="shared" si="5"/>
        <v>46.376765081874879</v>
      </c>
      <c r="AO6" s="83">
        <f t="shared" si="6"/>
        <v>-87.940442589638536</v>
      </c>
      <c r="AR6" t="str">
        <f t="shared" si="7"/>
        <v>232.403503013442+1462.16394402364i</v>
      </c>
      <c r="AT6">
        <f t="shared" si="8"/>
        <v>30</v>
      </c>
      <c r="AU6">
        <f t="shared" si="21"/>
        <v>63.408276292435303</v>
      </c>
      <c r="AV6">
        <f t="shared" si="22"/>
        <v>80.968676533705363</v>
      </c>
    </row>
    <row r="7" spans="1:55" ht="42" x14ac:dyDescent="0.35">
      <c r="A7" s="1"/>
      <c r="B7" s="1"/>
      <c r="C7" s="87" t="s">
        <v>255</v>
      </c>
      <c r="D7" s="86">
        <v>1</v>
      </c>
      <c r="E7" s="103" t="s">
        <v>72</v>
      </c>
      <c r="F7" s="460" t="s">
        <v>279</v>
      </c>
      <c r="G7" s="461"/>
      <c r="J7" s="1"/>
      <c r="K7" t="s">
        <v>212</v>
      </c>
      <c r="L7">
        <f>'Step 1 - Device Parameters'!N8</f>
        <v>0</v>
      </c>
      <c r="P7">
        <f t="shared" si="23"/>
        <v>40</v>
      </c>
      <c r="R7" t="str">
        <f t="shared" si="0"/>
        <v>1.73883246399199-0.454366779736342i</v>
      </c>
      <c r="S7" t="str">
        <f t="shared" si="9"/>
        <v>6.77599870072954-1.77060687150956i</v>
      </c>
      <c r="U7">
        <f t="shared" si="10"/>
        <v>6.7759987007295397</v>
      </c>
      <c r="V7">
        <f t="shared" si="11"/>
        <v>-1.77060687150956</v>
      </c>
      <c r="W7" s="105">
        <f t="shared" si="12"/>
        <v>40</v>
      </c>
      <c r="X7" s="84">
        <f t="shared" si="1"/>
        <v>16.906319911027662</v>
      </c>
      <c r="Y7" s="84">
        <f t="shared" si="2"/>
        <v>-14.644266298917133</v>
      </c>
      <c r="AB7" t="str">
        <f t="shared" si="13"/>
        <v>-0.00221238938053097+18.7388990761873i</v>
      </c>
      <c r="AD7">
        <f t="shared" si="14"/>
        <v>40</v>
      </c>
      <c r="AE7" s="83">
        <f t="shared" si="15"/>
        <v>25.454881504291631</v>
      </c>
      <c r="AF7" s="83">
        <f t="shared" si="16"/>
        <v>90.006764568880996</v>
      </c>
      <c r="AH7" t="str">
        <f t="shared" si="17"/>
        <v>-1.00221238938053+18.7388990761873i</v>
      </c>
      <c r="AI7" t="str">
        <f t="shared" si="18"/>
        <v>-7.48841993709506+156.195752390453i</v>
      </c>
      <c r="AJ7" t="str">
        <f t="shared" si="3"/>
        <v>19998.9892413612-110.520203739384i</v>
      </c>
      <c r="AK7" s="83">
        <f t="shared" si="19"/>
        <v>-7.4884199370950597</v>
      </c>
      <c r="AL7" s="83">
        <f t="shared" si="4"/>
        <v>156.19575239045301</v>
      </c>
      <c r="AM7" s="83">
        <f t="shared" si="20"/>
        <v>40</v>
      </c>
      <c r="AN7" s="83">
        <f t="shared" si="5"/>
        <v>43.883355133995032</v>
      </c>
      <c r="AO7" s="83">
        <f t="shared" si="6"/>
        <v>-87.255196904734845</v>
      </c>
      <c r="AR7" t="str">
        <f t="shared" si="7"/>
        <v>225.819748718869+1071.64126305455i</v>
      </c>
      <c r="AT7">
        <f t="shared" si="8"/>
        <v>40</v>
      </c>
      <c r="AU7">
        <f t="shared" si="21"/>
        <v>60.789675045022676</v>
      </c>
      <c r="AV7">
        <f t="shared" si="22"/>
        <v>78.100536796347996</v>
      </c>
    </row>
    <row r="8" spans="1:55" x14ac:dyDescent="0.25">
      <c r="A8" s="1"/>
      <c r="B8" s="1"/>
      <c r="C8" s="1"/>
      <c r="D8" s="66"/>
      <c r="E8" s="65"/>
      <c r="F8" s="66"/>
      <c r="G8" s="1"/>
      <c r="J8" s="1"/>
      <c r="K8" t="s">
        <v>214</v>
      </c>
      <c r="L8">
        <f>'Step 1 - Device Parameters'!K8</f>
        <v>20</v>
      </c>
      <c r="P8">
        <f t="shared" si="23"/>
        <v>50</v>
      </c>
      <c r="R8" t="str">
        <f t="shared" si="0"/>
        <v>1.67806659642901-0.547939078335129i</v>
      </c>
      <c r="S8" t="str">
        <f t="shared" si="9"/>
        <v>6.53920220182466-2.13524566613732i</v>
      </c>
      <c r="U8">
        <f t="shared" si="10"/>
        <v>6.5392022018246596</v>
      </c>
      <c r="V8">
        <f t="shared" si="11"/>
        <v>-2.1352456661373198</v>
      </c>
      <c r="W8" s="105">
        <f t="shared" si="12"/>
        <v>50</v>
      </c>
      <c r="X8" s="84">
        <f t="shared" si="1"/>
        <v>16.750487695077972</v>
      </c>
      <c r="Y8" s="84">
        <f t="shared" si="2"/>
        <v>-18.083413455611428</v>
      </c>
      <c r="AB8" t="str">
        <f t="shared" si="13"/>
        <v>-0.00221238938053097+14.9911192609498i</v>
      </c>
      <c r="AD8">
        <f t="shared" si="14"/>
        <v>50</v>
      </c>
      <c r="AE8" s="83">
        <f t="shared" si="15"/>
        <v>23.516681278182414</v>
      </c>
      <c r="AF8" s="83">
        <f t="shared" si="16"/>
        <v>90.008455711079151</v>
      </c>
      <c r="AH8" t="str">
        <f t="shared" si="17"/>
        <v>-1.00221238938053+14.9911192609498i</v>
      </c>
      <c r="AI8" t="str">
        <f t="shared" si="18"/>
        <v>-7.48829130206439+124.975223453094i</v>
      </c>
      <c r="AJ8" t="str">
        <f t="shared" si="3"/>
        <v>19998.6457015202-138.14788154847i</v>
      </c>
      <c r="AK8" s="83">
        <f t="shared" si="19"/>
        <v>-7.4882913020643898</v>
      </c>
      <c r="AL8" s="83">
        <f t="shared" si="4"/>
        <v>124.975223453094</v>
      </c>
      <c r="AM8" s="83">
        <f t="shared" si="20"/>
        <v>50</v>
      </c>
      <c r="AN8" s="83">
        <f t="shared" si="5"/>
        <v>41.952042520044543</v>
      </c>
      <c r="AO8" s="83">
        <f t="shared" si="6"/>
        <v>-86.571039246614291</v>
      </c>
      <c r="AR8" t="str">
        <f t="shared" si="7"/>
        <v>217.885353282398+833.227597927508i</v>
      </c>
      <c r="AT8">
        <f t="shared" si="8"/>
        <v>50</v>
      </c>
      <c r="AU8">
        <f t="shared" si="21"/>
        <v>58.702530215122515</v>
      </c>
      <c r="AV8">
        <f t="shared" si="22"/>
        <v>75.345547297774303</v>
      </c>
      <c r="BA8" t="s">
        <v>193</v>
      </c>
      <c r="BB8">
        <f>'Loop Stability Worksht'!L17</f>
        <v>19999.600007999841</v>
      </c>
    </row>
    <row r="9" spans="1:55" x14ac:dyDescent="0.25">
      <c r="A9" s="1"/>
      <c r="B9" s="1"/>
      <c r="C9" s="1"/>
      <c r="D9" s="66"/>
      <c r="E9" s="65"/>
      <c r="F9" s="66"/>
      <c r="G9" s="1"/>
      <c r="J9" s="1"/>
      <c r="K9" t="s">
        <v>210</v>
      </c>
      <c r="L9">
        <v>5</v>
      </c>
      <c r="P9">
        <f t="shared" si="23"/>
        <v>60</v>
      </c>
      <c r="R9" t="str">
        <f t="shared" si="0"/>
        <v>1.6093743713376-0.630369999493903i</v>
      </c>
      <c r="S9" t="str">
        <f t="shared" si="9"/>
        <v>6.27151774250589-2.4564679956247i</v>
      </c>
      <c r="U9">
        <f t="shared" si="10"/>
        <v>6.2715177425058899</v>
      </c>
      <c r="V9">
        <f t="shared" si="11"/>
        <v>-2.4564679956247</v>
      </c>
      <c r="W9" s="105">
        <f t="shared" si="12"/>
        <v>60</v>
      </c>
      <c r="X9" s="84">
        <f t="shared" si="1"/>
        <v>16.567321140372847</v>
      </c>
      <c r="Y9" s="84">
        <f t="shared" si="2"/>
        <v>-21.389601408061328</v>
      </c>
      <c r="AB9" t="str">
        <f t="shared" si="13"/>
        <v>-0.00221238938053097+12.4925993841248i</v>
      </c>
      <c r="AD9">
        <f t="shared" si="14"/>
        <v>60</v>
      </c>
      <c r="AE9" s="83">
        <f t="shared" si="15"/>
        <v>21.933056398848933</v>
      </c>
      <c r="AF9" s="83">
        <f t="shared" si="16"/>
        <v>90.010146853262555</v>
      </c>
      <c r="AH9" t="str">
        <f t="shared" si="17"/>
        <v>-1.00221238938053+12.4925993841248i</v>
      </c>
      <c r="AI9" t="str">
        <f t="shared" si="18"/>
        <v>-7.48813408747279+104.164985204334i</v>
      </c>
      <c r="AJ9" t="str">
        <f t="shared" si="3"/>
        <v>19998.2258355201-165.773977406579i</v>
      </c>
      <c r="AK9" s="83">
        <f t="shared" si="19"/>
        <v>-7.4881340874727904</v>
      </c>
      <c r="AL9" s="83">
        <f t="shared" si="4"/>
        <v>104.164985204334</v>
      </c>
      <c r="AM9" s="83">
        <f t="shared" si="20"/>
        <v>60</v>
      </c>
      <c r="AN9" s="83">
        <f t="shared" si="5"/>
        <v>40.376820705609695</v>
      </c>
      <c r="AO9" s="83">
        <f t="shared" si="6"/>
        <v>-85.888237264742003</v>
      </c>
      <c r="AR9" t="str">
        <f t="shared" si="7"/>
        <v>208.915986631318+671.666914589667i</v>
      </c>
      <c r="AT9">
        <f t="shared" si="8"/>
        <v>60</v>
      </c>
      <c r="AU9">
        <f t="shared" si="21"/>
        <v>56.944141845982529</v>
      </c>
      <c r="AV9">
        <f t="shared" si="22"/>
        <v>72.722161327196659</v>
      </c>
      <c r="BA9" t="s">
        <v>191</v>
      </c>
      <c r="BB9">
        <f>D7+D17</f>
        <v>1.1000000000000001</v>
      </c>
      <c r="BC9" t="s">
        <v>72</v>
      </c>
    </row>
    <row r="10" spans="1:55" ht="20.25" customHeight="1" x14ac:dyDescent="0.25">
      <c r="A10" s="1"/>
      <c r="B10" s="1"/>
      <c r="C10" s="94"/>
      <c r="D10" s="95"/>
      <c r="E10" s="96"/>
      <c r="F10" s="95"/>
      <c r="G10" s="1"/>
      <c r="H10" s="1"/>
      <c r="J10" s="1"/>
      <c r="P10">
        <f t="shared" si="23"/>
        <v>70</v>
      </c>
      <c r="R10" t="str">
        <f t="shared" si="0"/>
        <v>1.53516768238126-0.701205175989977i</v>
      </c>
      <c r="S10" t="str">
        <f t="shared" si="9"/>
        <v>5.98234415139452-2.73250325137408i</v>
      </c>
      <c r="U10">
        <f t="shared" si="10"/>
        <v>5.9823441513945204</v>
      </c>
      <c r="V10">
        <f t="shared" si="11"/>
        <v>-2.7325032513740801</v>
      </c>
      <c r="W10" s="105">
        <f t="shared" si="12"/>
        <v>70</v>
      </c>
      <c r="X10" s="84">
        <f t="shared" si="1"/>
        <v>16.360364726260791</v>
      </c>
      <c r="Y10" s="84">
        <f t="shared" si="2"/>
        <v>-24.549085693977009</v>
      </c>
      <c r="AB10" t="str">
        <f t="shared" si="13"/>
        <v>-0.00221238938053097+10.7079423292499i</v>
      </c>
      <c r="AD10">
        <f t="shared" si="14"/>
        <v>70</v>
      </c>
      <c r="AE10" s="83">
        <f t="shared" si="15"/>
        <v>20.594120655422856</v>
      </c>
      <c r="AF10" s="83">
        <f t="shared" si="16"/>
        <v>90.011837995428294</v>
      </c>
      <c r="AH10" t="str">
        <f t="shared" si="17"/>
        <v>-1.00221238938053+10.7079423292499i</v>
      </c>
      <c r="AI10" t="str">
        <f t="shared" si="18"/>
        <v>-7.48794829692065+89.3034841196358i</v>
      </c>
      <c r="AJ10" t="str">
        <f t="shared" si="3"/>
        <v>19997.7296529763-193.398175056362i</v>
      </c>
      <c r="AK10" s="83">
        <f t="shared" si="19"/>
        <v>-7.4879482969206501</v>
      </c>
      <c r="AL10" s="83">
        <f t="shared" si="4"/>
        <v>89.303484119635797</v>
      </c>
      <c r="AM10" s="83">
        <f t="shared" si="20"/>
        <v>70</v>
      </c>
      <c r="AN10" s="83">
        <f t="shared" si="5"/>
        <v>39.047794486921873</v>
      </c>
      <c r="AO10" s="83">
        <f t="shared" si="6"/>
        <v>-85.207055737774425</v>
      </c>
      <c r="AR10" t="str">
        <f t="shared" si="7"/>
        <v>199.226577015911+554.705018989713i</v>
      </c>
      <c r="AT10">
        <f t="shared" si="8"/>
        <v>70</v>
      </c>
      <c r="AU10">
        <f t="shared" si="21"/>
        <v>55.408159213182664</v>
      </c>
      <c r="AV10">
        <f t="shared" si="22"/>
        <v>70.243858568248513</v>
      </c>
      <c r="BA10" t="s">
        <v>119</v>
      </c>
      <c r="BB10">
        <f>1/(6.28*BB8*BB9*0.000000001*BB13)</f>
        <v>1.4476259409380425</v>
      </c>
    </row>
    <row r="11" spans="1:55" ht="31.5" x14ac:dyDescent="0.25">
      <c r="A11" s="1"/>
      <c r="B11" s="1"/>
      <c r="C11" s="462" t="s">
        <v>209</v>
      </c>
      <c r="D11" s="462"/>
      <c r="E11" s="462"/>
      <c r="F11" s="462"/>
      <c r="G11" s="1"/>
      <c r="J11" s="1"/>
      <c r="P11">
        <f t="shared" si="23"/>
        <v>80</v>
      </c>
      <c r="R11" t="str">
        <f t="shared" si="0"/>
        <v>1.45768991607768-0.760537098027834i</v>
      </c>
      <c r="S11" t="str">
        <f t="shared" si="9"/>
        <v>5.68042360719026-2.96371185540331i</v>
      </c>
      <c r="U11">
        <f t="shared" si="10"/>
        <v>5.6804236071902601</v>
      </c>
      <c r="V11">
        <f t="shared" si="11"/>
        <v>-2.9637118554033099</v>
      </c>
      <c r="W11" s="105">
        <f t="shared" si="12"/>
        <v>80</v>
      </c>
      <c r="X11" s="84">
        <f t="shared" si="1"/>
        <v>16.133216284647101</v>
      </c>
      <c r="Y11" s="84">
        <f t="shared" si="2"/>
        <v>-27.55291133174558</v>
      </c>
      <c r="AB11" t="str">
        <f t="shared" si="13"/>
        <v>-0.00221238938053097+9.36944953809363i</v>
      </c>
      <c r="AD11">
        <f t="shared" si="14"/>
        <v>80</v>
      </c>
      <c r="AE11" s="83">
        <f t="shared" si="15"/>
        <v>19.434281772622313</v>
      </c>
      <c r="AF11" s="83">
        <f t="shared" si="16"/>
        <v>90.013529137573414</v>
      </c>
      <c r="AH11" t="str">
        <f t="shared" si="17"/>
        <v>-1.00221238938053+9.36944953809363i</v>
      </c>
      <c r="AI11" t="str">
        <f t="shared" si="18"/>
        <v>-7.48773393466235+78.1599433775454i</v>
      </c>
      <c r="AJ11" t="str">
        <f t="shared" si="3"/>
        <v>19997.1571652508-221.020158312918i</v>
      </c>
      <c r="AK11" s="83">
        <f t="shared" si="19"/>
        <v>-7.4877339346623497</v>
      </c>
      <c r="AL11" s="83">
        <f t="shared" si="4"/>
        <v>78.159943377545403</v>
      </c>
      <c r="AM11" s="83">
        <f t="shared" si="20"/>
        <v>80</v>
      </c>
      <c r="AN11" s="83">
        <f t="shared" si="5"/>
        <v>37.899361036007797</v>
      </c>
      <c r="AO11" s="83">
        <f t="shared" si="6"/>
        <v>-84.527756032971027</v>
      </c>
      <c r="AR11" t="str">
        <f t="shared" si="7"/>
        <v>189.110050198867+466.173073330727i</v>
      </c>
      <c r="AT11">
        <f t="shared" si="8"/>
        <v>80</v>
      </c>
      <c r="AU11">
        <f t="shared" si="21"/>
        <v>54.032577320654894</v>
      </c>
      <c r="AV11">
        <f t="shared" si="22"/>
        <v>67.919332635283396</v>
      </c>
      <c r="BA11" t="s">
        <v>240</v>
      </c>
      <c r="BB11">
        <f>20*LOG(BB10/(1+BB10))</f>
        <v>-4.561773809433995</v>
      </c>
      <c r="BC11" t="s">
        <v>311</v>
      </c>
    </row>
    <row r="12" spans="1:55" ht="21" x14ac:dyDescent="0.35">
      <c r="A12" s="1"/>
      <c r="B12" s="1"/>
      <c r="C12" s="85" t="s">
        <v>231</v>
      </c>
      <c r="D12" s="220">
        <f>'Loop Stability Worksht'!D12</f>
        <v>3.8968669156160596</v>
      </c>
      <c r="E12" s="231" t="s">
        <v>228</v>
      </c>
      <c r="F12" s="95"/>
      <c r="G12" s="1"/>
      <c r="J12" s="1"/>
      <c r="P12">
        <f t="shared" si="23"/>
        <v>90</v>
      </c>
      <c r="R12" t="str">
        <f t="shared" si="0"/>
        <v>1.37890701798486-0.808884999231371i</v>
      </c>
      <c r="S12" t="str">
        <f t="shared" si="9"/>
        <v>5.373417138096-3.15211719204285i</v>
      </c>
      <c r="U12">
        <f t="shared" si="10"/>
        <v>5.3734171380960003</v>
      </c>
      <c r="V12">
        <f t="shared" si="11"/>
        <v>-3.1521171920428501</v>
      </c>
      <c r="W12" s="105">
        <f t="shared" si="12"/>
        <v>90</v>
      </c>
      <c r="X12" s="84">
        <f t="shared" si="1"/>
        <v>15.889375387654557</v>
      </c>
      <c r="Y12" s="84">
        <f t="shared" si="2"/>
        <v>-30.396446809564626</v>
      </c>
      <c r="AB12" t="str">
        <f t="shared" si="13"/>
        <v>-0.00221238938053097+8.32839958941657i</v>
      </c>
      <c r="AD12">
        <f t="shared" si="14"/>
        <v>90</v>
      </c>
      <c r="AE12" s="83">
        <f t="shared" si="15"/>
        <v>18.41123138799502</v>
      </c>
      <c r="AF12" s="83">
        <f t="shared" si="16"/>
        <v>90.015220279694958</v>
      </c>
      <c r="AH12" t="str">
        <f t="shared" si="17"/>
        <v>-1.00221238938053+8.32839958941657i</v>
      </c>
      <c r="AI12" t="str">
        <f t="shared" si="18"/>
        <v>-7.48749100560633+69.4950424691154i</v>
      </c>
      <c r="AJ12" t="str">
        <f t="shared" si="3"/>
        <v>19996.5083854523-248.639611075846i</v>
      </c>
      <c r="AK12" s="83">
        <f t="shared" si="19"/>
        <v>-7.48749100560633</v>
      </c>
      <c r="AL12" s="83">
        <f t="shared" si="4"/>
        <v>69.495042469115404</v>
      </c>
      <c r="AM12" s="83">
        <f t="shared" si="20"/>
        <v>90</v>
      </c>
      <c r="AN12" s="83">
        <f t="shared" si="5"/>
        <v>36.889199914597086</v>
      </c>
      <c r="AO12" s="83">
        <f t="shared" si="6"/>
        <v>-83.85059558336998</v>
      </c>
      <c r="AR12" t="str">
        <f t="shared" si="7"/>
        <v>178.823105637782+397.027301340292i</v>
      </c>
      <c r="AT12">
        <f t="shared" si="8"/>
        <v>90</v>
      </c>
      <c r="AU12">
        <f t="shared" si="21"/>
        <v>52.778575302251639</v>
      </c>
      <c r="AV12">
        <f t="shared" si="22"/>
        <v>65.752957607065397</v>
      </c>
    </row>
    <row r="13" spans="1:55" ht="21" x14ac:dyDescent="0.35">
      <c r="A13" s="1"/>
      <c r="B13" s="1"/>
      <c r="C13" s="85" t="s">
        <v>270</v>
      </c>
      <c r="D13" s="26">
        <f>'Loop Stability Worksht'!D13</f>
        <v>1108.071802666077</v>
      </c>
      <c r="E13" s="231" t="s">
        <v>27</v>
      </c>
      <c r="F13" s="207"/>
      <c r="G13" s="1"/>
      <c r="J13" s="1"/>
      <c r="K13" t="s">
        <v>219</v>
      </c>
      <c r="L13">
        <f>IF(L8=400,40,5)</f>
        <v>5</v>
      </c>
      <c r="P13">
        <f>10*P4</f>
        <v>100</v>
      </c>
      <c r="R13" t="str">
        <f t="shared" si="0"/>
        <v>1.30045145591188-0.847066530558377i</v>
      </c>
      <c r="S13" t="str">
        <f t="shared" si="9"/>
        <v>5.06768625390774-3.30090553825862i</v>
      </c>
      <c r="U13">
        <f t="shared" si="10"/>
        <v>5.0676862539077403</v>
      </c>
      <c r="V13">
        <f t="shared" si="11"/>
        <v>-3.3009055382586201</v>
      </c>
      <c r="W13" s="105">
        <f t="shared" si="12"/>
        <v>100</v>
      </c>
      <c r="X13" s="84">
        <f t="shared" si="1"/>
        <v>15.632130850375077</v>
      </c>
      <c r="Y13" s="84">
        <f t="shared" si="2"/>
        <v>-33.078750191080815</v>
      </c>
      <c r="AB13" t="str">
        <f t="shared" si="13"/>
        <v>-0.00221238938053097+7.49555963047491i</v>
      </c>
      <c r="AD13">
        <f t="shared" si="14"/>
        <v>100</v>
      </c>
      <c r="AE13" s="83">
        <f t="shared" si="15"/>
        <v>17.49608164866893</v>
      </c>
      <c r="AF13" s="83">
        <f t="shared" si="16"/>
        <v>90.01691142178997</v>
      </c>
      <c r="AH13" t="str">
        <f t="shared" si="17"/>
        <v>-1.00221238938053+7.49555963047491i</v>
      </c>
      <c r="AI13" t="str">
        <f t="shared" si="18"/>
        <v>-7.48721951531446+62.5651890416672i</v>
      </c>
      <c r="AJ13" t="str">
        <f t="shared" si="3"/>
        <v>19995.7833284347-276.256217341307i</v>
      </c>
      <c r="AK13" s="83">
        <f t="shared" si="19"/>
        <v>-7.4872195153144601</v>
      </c>
      <c r="AL13" s="83">
        <f t="shared" si="4"/>
        <v>62.565189041667203</v>
      </c>
      <c r="AM13" s="83">
        <f t="shared" si="20"/>
        <v>100</v>
      </c>
      <c r="AN13" s="83">
        <f t="shared" si="5"/>
        <v>35.988409712444863</v>
      </c>
      <c r="AO13" s="83">
        <f t="shared" si="6"/>
        <v>-83.175827385242613</v>
      </c>
      <c r="AR13" t="str">
        <f t="shared" si="7"/>
        <v>168.578899592088+341.775352843856i</v>
      </c>
      <c r="AT13">
        <f t="shared" si="8"/>
        <v>100</v>
      </c>
      <c r="AU13">
        <f t="shared" si="21"/>
        <v>51.620540562819947</v>
      </c>
      <c r="AV13">
        <f t="shared" si="22"/>
        <v>63.745422423676608</v>
      </c>
      <c r="BA13" t="s">
        <v>310</v>
      </c>
      <c r="BB13" s="206">
        <f>E27</f>
        <v>5000</v>
      </c>
    </row>
    <row r="14" spans="1:55" ht="21" x14ac:dyDescent="0.35">
      <c r="A14" s="1"/>
      <c r="B14" s="1"/>
      <c r="C14" s="85" t="s">
        <v>248</v>
      </c>
      <c r="D14" s="88">
        <f>'Loop Stability Worksht'!D14</f>
        <v>152.99234481940101</v>
      </c>
      <c r="E14" s="231" t="s">
        <v>27</v>
      </c>
      <c r="F14" s="420" t="s">
        <v>275</v>
      </c>
      <c r="G14" s="463"/>
      <c r="J14" s="1"/>
      <c r="K14" t="s">
        <v>220</v>
      </c>
      <c r="L14">
        <f>L13*D52/(L8+D52)</f>
        <v>4.9999000019999604</v>
      </c>
      <c r="P14">
        <f t="shared" ref="P14:P25" si="24">10*P5</f>
        <v>200</v>
      </c>
      <c r="R14" t="str">
        <f t="shared" si="0"/>
        <v>0.688598603881181-0.887830099606952i</v>
      </c>
      <c r="S14" t="str">
        <f t="shared" si="9"/>
        <v>2.68337711760398-3.45975574184644i</v>
      </c>
      <c r="U14">
        <f t="shared" si="10"/>
        <v>2.68337711760398</v>
      </c>
      <c r="V14">
        <f t="shared" si="11"/>
        <v>-3.4597557418464402</v>
      </c>
      <c r="W14" s="105">
        <f t="shared" si="12"/>
        <v>200</v>
      </c>
      <c r="X14" s="84">
        <f t="shared" si="1"/>
        <v>12.826316855681064</v>
      </c>
      <c r="Y14" s="84">
        <f t="shared" si="2"/>
        <v>-52.202941974364307</v>
      </c>
      <c r="AB14" t="str">
        <f t="shared" si="13"/>
        <v>-0.00221238938053097+3.74777981523746i</v>
      </c>
      <c r="AD14">
        <f t="shared" si="14"/>
        <v>200</v>
      </c>
      <c r="AE14" s="83">
        <f t="shared" si="15"/>
        <v>11.475482870453646</v>
      </c>
      <c r="AF14" s="83">
        <f t="shared" si="16"/>
        <v>90.03382284063332</v>
      </c>
      <c r="AH14" t="str">
        <f t="shared" si="17"/>
        <v>-1.00221238938053+3.74777981523746i</v>
      </c>
      <c r="AI14" t="str">
        <f t="shared" si="18"/>
        <v>-7.4829354346204+31.4376381794781i</v>
      </c>
      <c r="AJ14" t="str">
        <f t="shared" si="3"/>
        <v>19984.3420251385-552.196294912727i</v>
      </c>
      <c r="AK14" s="83">
        <f t="shared" si="19"/>
        <v>-7.4829354346203996</v>
      </c>
      <c r="AL14" s="83">
        <f t="shared" si="4"/>
        <v>31.4376381794781</v>
      </c>
      <c r="AM14" s="83">
        <f t="shared" si="20"/>
        <v>200</v>
      </c>
      <c r="AN14" s="83">
        <f t="shared" si="5"/>
        <v>30.188333529128101</v>
      </c>
      <c r="AO14" s="83">
        <f t="shared" si="6"/>
        <v>-76.611325230869085</v>
      </c>
      <c r="AR14" t="str">
        <f t="shared" si="7"/>
        <v>88.6870114837719+110.248167758119i</v>
      </c>
      <c r="AT14">
        <f t="shared" si="8"/>
        <v>200</v>
      </c>
      <c r="AU14">
        <f t="shared" si="21"/>
        <v>43.014650384809173</v>
      </c>
      <c r="AV14">
        <f t="shared" si="22"/>
        <v>51.185732794766629</v>
      </c>
    </row>
    <row r="15" spans="1:55" ht="21" x14ac:dyDescent="0.35">
      <c r="A15" s="1"/>
      <c r="B15" s="1"/>
      <c r="C15" s="85" t="s">
        <v>249</v>
      </c>
      <c r="D15" s="89">
        <f>'Loop Stability Worksht'!D15</f>
        <v>18956.627236882014</v>
      </c>
      <c r="E15" s="231" t="s">
        <v>27</v>
      </c>
      <c r="F15" s="464" t="s">
        <v>276</v>
      </c>
      <c r="G15" s="463"/>
      <c r="J15" s="1"/>
      <c r="K15" t="s">
        <v>216</v>
      </c>
      <c r="L15" s="44">
        <f>L7+L9/(L8*1000)</f>
        <v>2.5000000000000001E-4</v>
      </c>
      <c r="P15">
        <f t="shared" si="24"/>
        <v>300</v>
      </c>
      <c r="R15" t="str">
        <f t="shared" si="0"/>
        <v>0.39058099086352-0.742651342392841i</v>
      </c>
      <c r="S15" t="str">
        <f t="shared" si="9"/>
        <v>1.52204214116459-2.89401344600852i</v>
      </c>
      <c r="U15">
        <f t="shared" si="10"/>
        <v>1.5220421411645899</v>
      </c>
      <c r="V15">
        <f t="shared" si="11"/>
        <v>-2.8940134460085201</v>
      </c>
      <c r="W15" s="105">
        <f t="shared" si="12"/>
        <v>300</v>
      </c>
      <c r="X15" s="84">
        <f t="shared" si="1"/>
        <v>10.290559485663003</v>
      </c>
      <c r="Y15" s="84">
        <f t="shared" si="2"/>
        <v>-62.258869928175358</v>
      </c>
      <c r="AB15" t="str">
        <f t="shared" si="13"/>
        <v>-0.00221238938053097+2.49851987682498i</v>
      </c>
      <c r="AD15">
        <f t="shared" si="14"/>
        <v>300</v>
      </c>
      <c r="AE15" s="83">
        <f t="shared" si="15"/>
        <v>7.9536595811132624</v>
      </c>
      <c r="AF15" s="83">
        <f t="shared" si="16"/>
        <v>90.050734253583428</v>
      </c>
      <c r="AH15" t="str">
        <f t="shared" si="17"/>
        <v>-1.00221238938053+2.49851987682498i</v>
      </c>
      <c r="AI15" t="str">
        <f t="shared" si="18"/>
        <v>-7.47580618437349+21.1304335795999i</v>
      </c>
      <c r="AJ15" t="str">
        <f t="shared" si="3"/>
        <v>19965.3022543745-827.505297733356i</v>
      </c>
      <c r="AK15" s="83">
        <f t="shared" si="19"/>
        <v>-7.4758061843734902</v>
      </c>
      <c r="AL15" s="83">
        <f t="shared" si="4"/>
        <v>21.130433579599899</v>
      </c>
      <c r="AM15" s="83">
        <f t="shared" si="20"/>
        <v>300</v>
      </c>
      <c r="AN15" s="83">
        <f t="shared" si="5"/>
        <v>27.010348497422626</v>
      </c>
      <c r="AO15" s="83">
        <f t="shared" si="6"/>
        <v>-70.516560938805924</v>
      </c>
      <c r="AR15" t="str">
        <f t="shared" si="7"/>
        <v>49.7732668475567+53.7964939865609i</v>
      </c>
      <c r="AT15">
        <f t="shared" si="8"/>
        <v>300</v>
      </c>
      <c r="AU15">
        <f t="shared" si="21"/>
        <v>37.300907983085629</v>
      </c>
      <c r="AV15">
        <f t="shared" si="22"/>
        <v>47.224569133018733</v>
      </c>
      <c r="BA15" t="s">
        <v>328</v>
      </c>
      <c r="BB15">
        <f>20*LOG(D13/BB13)</f>
        <v>-13.088042018018342</v>
      </c>
      <c r="BC15" t="s">
        <v>311</v>
      </c>
    </row>
    <row r="16" spans="1:55" x14ac:dyDescent="0.25">
      <c r="A16" s="1"/>
      <c r="B16" s="1"/>
      <c r="C16" s="94"/>
      <c r="D16" s="95"/>
      <c r="E16" s="96"/>
      <c r="F16" s="116"/>
      <c r="G16" s="1"/>
      <c r="H16" s="1"/>
      <c r="J16" s="1"/>
      <c r="P16">
        <f t="shared" si="24"/>
        <v>400</v>
      </c>
      <c r="R16" t="str">
        <f t="shared" si="0"/>
        <v>0.246896394489022-0.611505130372449i</v>
      </c>
      <c r="S16" t="str">
        <f t="shared" si="9"/>
        <v>0.962122391269161-2.38295411127788i</v>
      </c>
      <c r="U16">
        <f t="shared" si="10"/>
        <v>0.96212239126916099</v>
      </c>
      <c r="V16">
        <f t="shared" si="11"/>
        <v>-2.38295411127788</v>
      </c>
      <c r="W16" s="105">
        <f t="shared" si="12"/>
        <v>400</v>
      </c>
      <c r="X16" s="84">
        <f t="shared" si="1"/>
        <v>8.1981691516684201</v>
      </c>
      <c r="Y16" s="84">
        <f t="shared" si="2"/>
        <v>-68.013510411985777</v>
      </c>
      <c r="AB16" t="str">
        <f t="shared" si="13"/>
        <v>-0.00221238938053097+1.87388990761873i</v>
      </c>
      <c r="AD16">
        <f t="shared" si="14"/>
        <v>400</v>
      </c>
      <c r="AE16" s="83">
        <f t="shared" si="15"/>
        <v>5.4548874974283637</v>
      </c>
      <c r="AF16" s="83">
        <f t="shared" si="16"/>
        <v>90.067645657693674</v>
      </c>
      <c r="AH16" t="str">
        <f t="shared" si="17"/>
        <v>-1.00221238938053+1.87388990761873i</v>
      </c>
      <c r="AI16" t="str">
        <f t="shared" si="18"/>
        <v>-7.46584802569578+16.0280212950222i</v>
      </c>
      <c r="AJ16" t="str">
        <f t="shared" si="3"/>
        <v>19938.7074439963-1101.87069077119i</v>
      </c>
      <c r="AK16" s="83">
        <f t="shared" si="19"/>
        <v>-7.46584802569578</v>
      </c>
      <c r="AL16" s="83">
        <f t="shared" si="4"/>
        <v>16.028021295022199</v>
      </c>
      <c r="AM16" s="83">
        <f t="shared" si="20"/>
        <v>400</v>
      </c>
      <c r="AN16" s="83">
        <f t="shared" si="5"/>
        <v>24.950394764113998</v>
      </c>
      <c r="AO16" s="83">
        <f t="shared" si="6"/>
        <v>-65.023908867215582</v>
      </c>
      <c r="AR16" t="str">
        <f t="shared" si="7"/>
        <v>31.010979685288+33.2116914226874i</v>
      </c>
      <c r="AT16">
        <f t="shared" si="8"/>
        <v>400</v>
      </c>
      <c r="AU16">
        <f t="shared" si="21"/>
        <v>33.148563915782418</v>
      </c>
      <c r="AV16">
        <f t="shared" si="22"/>
        <v>46.962580720798641</v>
      </c>
    </row>
    <row r="17" spans="1:54" ht="21" x14ac:dyDescent="0.35">
      <c r="A17" s="1"/>
      <c r="B17" s="1"/>
      <c r="C17" s="85" t="s">
        <v>191</v>
      </c>
      <c r="D17" s="86">
        <v>0.1</v>
      </c>
      <c r="E17" s="104" t="s">
        <v>72</v>
      </c>
      <c r="F17" s="117"/>
      <c r="G17" s="1"/>
      <c r="H17" s="1"/>
      <c r="J17" s="1"/>
      <c r="K17" t="s">
        <v>218</v>
      </c>
      <c r="L17">
        <f>1000*L8*D52/(D52+L8)</f>
        <v>19999.600007999841</v>
      </c>
      <c r="P17">
        <f t="shared" si="24"/>
        <v>500</v>
      </c>
      <c r="R17" t="str">
        <f t="shared" si="0"/>
        <v>0.170416791438145-0.512418337896321i</v>
      </c>
      <c r="S17" t="str">
        <f t="shared" si="9"/>
        <v>0.664091556420749-1.99682606790314i</v>
      </c>
      <c r="U17">
        <f t="shared" si="10"/>
        <v>0.66409155642074902</v>
      </c>
      <c r="V17">
        <f t="shared" si="11"/>
        <v>-1.99682606790314</v>
      </c>
      <c r="W17" s="105">
        <f t="shared" si="12"/>
        <v>500</v>
      </c>
      <c r="X17" s="84">
        <f t="shared" si="1"/>
        <v>6.4624016745515434</v>
      </c>
      <c r="Y17" s="84">
        <f t="shared" si="2"/>
        <v>-71.604238668041646</v>
      </c>
      <c r="AB17" t="str">
        <f t="shared" si="13"/>
        <v>-0.00221238938053097+1.49911192609498i</v>
      </c>
      <c r="AD17">
        <f t="shared" si="14"/>
        <v>500</v>
      </c>
      <c r="AE17" s="83">
        <f t="shared" si="15"/>
        <v>3.5166906424548512</v>
      </c>
      <c r="AF17" s="83">
        <f t="shared" si="16"/>
        <v>90.084557050017423</v>
      </c>
      <c r="AH17" t="str">
        <f t="shared" si="17"/>
        <v>-1.00221238938053+1.49911192609498i</v>
      </c>
      <c r="AI17" t="str">
        <f t="shared" si="18"/>
        <v>-7.45308359438677+13.0071982548599i</v>
      </c>
      <c r="AJ17" t="str">
        <f t="shared" si="3"/>
        <v>19904.6180464244-1374.9835149767i</v>
      </c>
      <c r="AK17" s="83">
        <f t="shared" si="19"/>
        <v>-7.4530835943867704</v>
      </c>
      <c r="AL17" s="83">
        <f t="shared" si="4"/>
        <v>13.007198254859899</v>
      </c>
      <c r="AM17" s="83">
        <f t="shared" si="20"/>
        <v>500</v>
      </c>
      <c r="AN17" s="83">
        <f t="shared" si="5"/>
        <v>23.516719926081361</v>
      </c>
      <c r="AO17" s="83">
        <f t="shared" si="6"/>
        <v>-60.187427167657688</v>
      </c>
      <c r="AR17" t="str">
        <f t="shared" si="7"/>
        <v>21.0235826613582+23.5204821412759i</v>
      </c>
      <c r="AT17">
        <f t="shared" si="8"/>
        <v>500</v>
      </c>
      <c r="AU17">
        <f t="shared" si="21"/>
        <v>29.979121600632901</v>
      </c>
      <c r="AV17">
        <f t="shared" si="22"/>
        <v>48.208334164300709</v>
      </c>
      <c r="BA17" t="s">
        <v>240</v>
      </c>
      <c r="BB17">
        <f>1/(10^((BB15)/20))</f>
        <v>4.512342961863796</v>
      </c>
    </row>
    <row r="18" spans="1:54" s="70" customFormat="1" ht="21" x14ac:dyDescent="0.35">
      <c r="A18" s="71"/>
      <c r="B18" s="71"/>
      <c r="C18" s="85" t="s">
        <v>248</v>
      </c>
      <c r="D18" s="91">
        <f>'Loop Stability Worksht'!D21</f>
        <v>7238.1297046902118</v>
      </c>
      <c r="E18" s="231" t="s">
        <v>27</v>
      </c>
      <c r="F18" s="456" t="s">
        <v>277</v>
      </c>
      <c r="G18" s="457"/>
      <c r="J18" s="71"/>
      <c r="K18" s="70" t="s">
        <v>280</v>
      </c>
      <c r="L18" s="70">
        <f>L8*L24/(L13-L24)</f>
        <v>26.443384133872051</v>
      </c>
      <c r="P18" s="70">
        <f t="shared" si="24"/>
        <v>600</v>
      </c>
      <c r="R18" s="70" t="str">
        <f t="shared" si="0"/>
        <v>0.125749515893404-0.43831368149491i</v>
      </c>
      <c r="S18" s="70" t="str">
        <f t="shared" si="9"/>
        <v>0.490029128139742-1.70805008407939i</v>
      </c>
      <c r="U18" s="70">
        <f t="shared" si="10"/>
        <v>0.49002912813974198</v>
      </c>
      <c r="V18" s="70">
        <f t="shared" si="11"/>
        <v>-1.70805008407939</v>
      </c>
      <c r="W18" s="2">
        <f t="shared" si="12"/>
        <v>600</v>
      </c>
      <c r="X18" s="84">
        <f t="shared" si="1"/>
        <v>4.9935211189557762</v>
      </c>
      <c r="Y18" s="84">
        <f t="shared" si="2"/>
        <v>-73.992138245819433</v>
      </c>
      <c r="AB18" s="70" t="str">
        <f t="shared" si="13"/>
        <v>-0.00221238938053097+1.24925993841248i</v>
      </c>
      <c r="AD18" s="70">
        <f t="shared" si="14"/>
        <v>600</v>
      </c>
      <c r="AE18" s="84">
        <f t="shared" si="15"/>
        <v>1.9330698833947133</v>
      </c>
      <c r="AF18" s="84">
        <f t="shared" si="16"/>
        <v>90.101468427608125</v>
      </c>
      <c r="AH18" s="70" t="str">
        <f t="shared" si="17"/>
        <v>-1.00221238938053+1.24925993841248i</v>
      </c>
      <c r="AI18" s="70" t="str">
        <f t="shared" si="18"/>
        <v>-7.43754177280524+11.0268214131409i</v>
      </c>
      <c r="AJ18" s="70" t="str">
        <f t="shared" si="3"/>
        <v>19863.1111964866-1646.53953495325i</v>
      </c>
      <c r="AK18" s="84">
        <f t="shared" si="19"/>
        <v>-7.4375417728052398</v>
      </c>
      <c r="AL18" s="84">
        <f t="shared" si="4"/>
        <v>11.026821413140899</v>
      </c>
      <c r="AM18" s="84">
        <f t="shared" si="20"/>
        <v>600</v>
      </c>
      <c r="AN18" s="84">
        <f t="shared" si="5"/>
        <v>22.477470261401145</v>
      </c>
      <c r="AO18" s="84">
        <f t="shared" si="6"/>
        <v>-56.000511349695621</v>
      </c>
      <c r="AR18" s="70" t="str">
        <f t="shared" si="7"/>
        <v>15.1897511314131+18.107157533618i</v>
      </c>
      <c r="AT18" s="70">
        <f t="shared" si="8"/>
        <v>600</v>
      </c>
      <c r="AU18" s="70">
        <f t="shared" si="21"/>
        <v>27.470991380356917</v>
      </c>
      <c r="AV18" s="70">
        <f t="shared" si="22"/>
        <v>50.007350404484839</v>
      </c>
    </row>
    <row r="19" spans="1:54" s="70" customFormat="1" ht="30.75" customHeight="1" x14ac:dyDescent="0.25">
      <c r="A19" s="71"/>
      <c r="B19" s="71"/>
      <c r="C19" s="467" t="s">
        <v>229</v>
      </c>
      <c r="D19" s="468"/>
      <c r="E19" s="468"/>
      <c r="F19" s="469"/>
      <c r="G19" s="71"/>
      <c r="J19" s="71"/>
      <c r="P19" s="70">
        <f t="shared" si="24"/>
        <v>700</v>
      </c>
      <c r="R19" s="70" t="str">
        <f t="shared" si="0"/>
        <v>0.0976557315105059-0.381788474028371i</v>
      </c>
      <c r="S19" s="70" t="str">
        <f t="shared" si="9"/>
        <v>0.380551389243575-1.4877788732047i</v>
      </c>
      <c r="U19" s="70">
        <f t="shared" si="10"/>
        <v>0.38055138924357501</v>
      </c>
      <c r="V19" s="70">
        <f t="shared" si="11"/>
        <v>-1.4877788732046999</v>
      </c>
      <c r="W19" s="2">
        <f t="shared" si="12"/>
        <v>700</v>
      </c>
      <c r="X19" s="84">
        <f t="shared" si="1"/>
        <v>3.7260003354054385</v>
      </c>
      <c r="Y19" s="84">
        <f t="shared" si="2"/>
        <v>-75.652229681127565</v>
      </c>
      <c r="AB19" s="70" t="str">
        <f t="shared" si="13"/>
        <v>-0.00221238938053097+1.07079423292499i</v>
      </c>
      <c r="AD19" s="70">
        <f t="shared" si="14"/>
        <v>700</v>
      </c>
      <c r="AE19" s="84">
        <f t="shared" si="15"/>
        <v>0.5941390093774489</v>
      </c>
      <c r="AF19" s="84">
        <f t="shared" si="16"/>
        <v>90.11837978751916</v>
      </c>
      <c r="AH19" s="70" t="str">
        <f t="shared" si="17"/>
        <v>-1.00221238938053+1.07079423292499i</v>
      </c>
      <c r="AI19" s="70" t="str">
        <f t="shared" si="18"/>
        <v>-7.41925752747616+9.64062369589826i</v>
      </c>
      <c r="AJ19" s="70" t="str">
        <f t="shared" si="3"/>
        <v>19814.2802777221-1916.24034941206i</v>
      </c>
      <c r="AK19" s="84">
        <f t="shared" si="19"/>
        <v>-7.4192575274761596</v>
      </c>
      <c r="AL19" s="84">
        <f t="shared" si="4"/>
        <v>9.6406236958982596</v>
      </c>
      <c r="AM19" s="84">
        <f t="shared" si="20"/>
        <v>700</v>
      </c>
      <c r="AN19" s="84">
        <f t="shared" si="5"/>
        <v>21.702235882557446</v>
      </c>
      <c r="AO19" s="84">
        <f t="shared" si="6"/>
        <v>-52.418740771889865</v>
      </c>
      <c r="AR19" s="70" t="str">
        <f t="shared" si="7"/>
        <v>11.5197075000371+14.7069673448926i</v>
      </c>
      <c r="AT19" s="70">
        <f t="shared" si="8"/>
        <v>700</v>
      </c>
      <c r="AU19" s="70">
        <f t="shared" si="21"/>
        <v>25.428236217962883</v>
      </c>
      <c r="AV19" s="70">
        <f t="shared" si="22"/>
        <v>51.929029546982711</v>
      </c>
      <c r="BA19" s="70" t="s">
        <v>312</v>
      </c>
      <c r="BB19" s="70">
        <f>D54*D6/BB17</f>
        <v>2.2161436053321535</v>
      </c>
    </row>
    <row r="20" spans="1:54" ht="21" x14ac:dyDescent="0.35">
      <c r="A20" s="1"/>
      <c r="B20" s="1"/>
      <c r="C20" s="85" t="s">
        <v>180</v>
      </c>
      <c r="D20" s="86">
        <v>560</v>
      </c>
      <c r="E20" s="196" t="s">
        <v>253</v>
      </c>
      <c r="F20" s="68">
        <f>6.28*D20*0.000001</f>
        <v>3.5168E-3</v>
      </c>
      <c r="G20" s="1"/>
      <c r="J20" s="1"/>
      <c r="K20" t="s">
        <v>215</v>
      </c>
      <c r="L20" s="44">
        <f>L15/D6</f>
        <v>5.0000000000000001E-4</v>
      </c>
      <c r="P20">
        <f t="shared" si="24"/>
        <v>800</v>
      </c>
      <c r="R20" t="str">
        <f t="shared" si="0"/>
        <v>0.0789291124604502-0.337617529555382i</v>
      </c>
      <c r="S20" t="str">
        <f t="shared" si="9"/>
        <v>0.307576247026068-1.3156505810564i</v>
      </c>
      <c r="U20">
        <f t="shared" si="10"/>
        <v>0.30757624702606801</v>
      </c>
      <c r="V20">
        <f t="shared" si="11"/>
        <v>-1.3156505810564001</v>
      </c>
      <c r="W20" s="105">
        <f t="shared" si="12"/>
        <v>800</v>
      </c>
      <c r="X20" s="84">
        <f t="shared" si="1"/>
        <v>2.6139125800002834</v>
      </c>
      <c r="Y20" s="84">
        <f t="shared" si="2"/>
        <v>-76.841566751868257</v>
      </c>
      <c r="AB20" t="str">
        <f t="shared" si="13"/>
        <v>-0.00221238938053097+0.936944953809363i</v>
      </c>
      <c r="AD20">
        <f t="shared" si="14"/>
        <v>800</v>
      </c>
      <c r="AE20" s="83">
        <f t="shared" si="15"/>
        <v>-0.56569425488137914</v>
      </c>
      <c r="AF20" s="83">
        <f t="shared" si="16"/>
        <v>90.135291126804006</v>
      </c>
      <c r="AH20" t="str">
        <f t="shared" si="17"/>
        <v>-1.00221238938053+0.936944953809363i</v>
      </c>
      <c r="AI20" t="str">
        <f t="shared" si="18"/>
        <v>-7.39827171411649+8.62541828273021i</v>
      </c>
      <c r="AJ20" t="str">
        <f t="shared" si="3"/>
        <v>19758.2344016726-2183.79445605895i</v>
      </c>
      <c r="AK20" s="83">
        <f t="shared" si="19"/>
        <v>-7.3982717141164898</v>
      </c>
      <c r="AL20" s="83">
        <f t="shared" si="4"/>
        <v>8.6254182827302106</v>
      </c>
      <c r="AM20" s="83">
        <f t="shared" si="20"/>
        <v>800</v>
      </c>
      <c r="AN20" s="83">
        <f t="shared" si="5"/>
        <v>21.110347683761294</v>
      </c>
      <c r="AO20" s="83">
        <f t="shared" si="6"/>
        <v>-49.379349845397009</v>
      </c>
      <c r="AR20" t="str">
        <f t="shared" si="7"/>
        <v>9.07250392722143+12.3865142639227i</v>
      </c>
      <c r="AT20">
        <f t="shared" si="8"/>
        <v>800</v>
      </c>
      <c r="AU20">
        <f t="shared" si="21"/>
        <v>23.724260263761586</v>
      </c>
      <c r="AV20">
        <f t="shared" si="22"/>
        <v>53.779083402734791</v>
      </c>
    </row>
    <row r="21" spans="1:54" ht="21" x14ac:dyDescent="0.35">
      <c r="A21" s="1"/>
      <c r="B21" s="1"/>
      <c r="C21" s="85" t="s">
        <v>203</v>
      </c>
      <c r="D21" s="86">
        <v>15</v>
      </c>
      <c r="E21" s="55" t="s">
        <v>252</v>
      </c>
      <c r="F21" s="68">
        <f>D21/1000</f>
        <v>1.4999999999999999E-2</v>
      </c>
      <c r="G21" s="1"/>
      <c r="J21" s="1"/>
      <c r="P21">
        <f t="shared" si="24"/>
        <v>900</v>
      </c>
      <c r="R21" t="str">
        <f t="shared" si="0"/>
        <v>0.0658583701285832-0.302308596999185i</v>
      </c>
      <c r="S21" t="str">
        <f t="shared" si="9"/>
        <v>0.256641303670473-1.17805636995243i</v>
      </c>
      <c r="U21">
        <f t="shared" si="10"/>
        <v>0.256641303670473</v>
      </c>
      <c r="V21">
        <f t="shared" si="11"/>
        <v>-1.17805636995243</v>
      </c>
      <c r="W21" s="105">
        <f t="shared" si="12"/>
        <v>900</v>
      </c>
      <c r="X21" s="84">
        <f t="shared" si="1"/>
        <v>1.6246928428147478</v>
      </c>
      <c r="Y21" s="84">
        <f t="shared" si="2"/>
        <v>-77.710053293543695</v>
      </c>
      <c r="AB21" t="str">
        <f t="shared" si="13"/>
        <v>-0.00221238938053097+0.832839958941657i</v>
      </c>
      <c r="AD21">
        <f t="shared" si="14"/>
        <v>900</v>
      </c>
      <c r="AE21" s="83">
        <f t="shared" si="15"/>
        <v>-1.5887382718370344</v>
      </c>
      <c r="AF21" s="83">
        <f t="shared" si="16"/>
        <v>90.152202442516085</v>
      </c>
      <c r="AH21" t="str">
        <f t="shared" si="17"/>
        <v>-1.00221238938053+0.832839958941657i</v>
      </c>
      <c r="AI21" t="str">
        <f t="shared" si="18"/>
        <v>-7.37463085209004+7.85716694651381i</v>
      </c>
      <c r="AJ21" t="str">
        <f t="shared" si="3"/>
        <v>19695.0978055288-2448.91826316541i</v>
      </c>
      <c r="AK21" s="83">
        <f t="shared" si="19"/>
        <v>-7.3746308520900401</v>
      </c>
      <c r="AL21" s="83">
        <f t="shared" si="4"/>
        <v>7.8571669465138099</v>
      </c>
      <c r="AM21" s="83">
        <f t="shared" si="20"/>
        <v>900</v>
      </c>
      <c r="AN21" s="83">
        <f t="shared" si="5"/>
        <v>20.649079720071228</v>
      </c>
      <c r="AO21" s="83">
        <f t="shared" si="6"/>
        <v>-46.814496144084885</v>
      </c>
      <c r="AR21" t="str">
        <f t="shared" si="7"/>
        <v>7.3635506951514+10.7042044196622i</v>
      </c>
      <c r="AT21">
        <f t="shared" si="8"/>
        <v>900</v>
      </c>
      <c r="AU21">
        <f t="shared" si="21"/>
        <v>22.273772562885952</v>
      </c>
      <c r="AV21">
        <f t="shared" si="22"/>
        <v>55.475450562371329</v>
      </c>
    </row>
    <row r="22" spans="1:54" ht="30" customHeight="1" x14ac:dyDescent="0.25">
      <c r="A22" s="1"/>
      <c r="B22" s="1"/>
      <c r="C22" s="1"/>
      <c r="D22" s="66"/>
      <c r="E22" s="65"/>
      <c r="F22" s="66"/>
      <c r="G22" s="1"/>
      <c r="J22" s="1"/>
      <c r="K22" t="s">
        <v>271</v>
      </c>
      <c r="L22">
        <f>'Step 1 - Device Parameters'!L8</f>
        <v>4</v>
      </c>
      <c r="P22">
        <f t="shared" si="24"/>
        <v>1000</v>
      </c>
      <c r="R22" t="str">
        <f t="shared" si="0"/>
        <v>0.0563905386482174-0.273514646245492i</v>
      </c>
      <c r="S22" t="str">
        <f t="shared" si="9"/>
        <v>0.219746424412007-1.06585017589049i</v>
      </c>
      <c r="U22">
        <f t="shared" si="10"/>
        <v>0.21974642441200701</v>
      </c>
      <c r="V22">
        <f t="shared" si="11"/>
        <v>-1.0658501758904899</v>
      </c>
      <c r="W22" s="105">
        <f t="shared" si="12"/>
        <v>1000</v>
      </c>
      <c r="X22" s="84">
        <f t="shared" si="1"/>
        <v>0.7347092937806855</v>
      </c>
      <c r="Y22" s="84">
        <f t="shared" si="2"/>
        <v>-78.350551288514538</v>
      </c>
      <c r="AB22" t="str">
        <f t="shared" si="13"/>
        <v>-0.00221238938053097+0.749555963047491i</v>
      </c>
      <c r="AD22">
        <f t="shared" si="14"/>
        <v>1000</v>
      </c>
      <c r="AE22" s="83">
        <f t="shared" si="15"/>
        <v>-2.5038808943649151</v>
      </c>
      <c r="AF22" s="83">
        <f t="shared" si="16"/>
        <v>90.169113731708919</v>
      </c>
      <c r="AH22" t="str">
        <f t="shared" si="17"/>
        <v>-1.00221238938053+0.749555963047491i</v>
      </c>
      <c r="AI22" t="str">
        <f t="shared" si="18"/>
        <v>-7.34838687058676+7.26140759395082i</v>
      </c>
      <c r="AJ22" t="str">
        <f t="shared" si="3"/>
        <v>19625.009174263-2711.33704077537i</v>
      </c>
      <c r="AK22" s="83">
        <f t="shared" si="19"/>
        <v>-7.3483868705867597</v>
      </c>
      <c r="AL22" s="83">
        <f t="shared" si="4"/>
        <v>7.2614075939508202</v>
      </c>
      <c r="AM22" s="83">
        <f t="shared" si="20"/>
        <v>1000</v>
      </c>
      <c r="AN22" s="83">
        <f t="shared" si="5"/>
        <v>20.282736095748675</v>
      </c>
      <c r="AO22" s="83">
        <f t="shared" si="6"/>
        <v>-44.658894134980947</v>
      </c>
      <c r="AR22" t="str">
        <f t="shared" si="7"/>
        <v>6.12479082121744+9.42794779349515i</v>
      </c>
      <c r="AT22">
        <f t="shared" si="8"/>
        <v>1000</v>
      </c>
      <c r="AU22">
        <f t="shared" si="21"/>
        <v>21.017445389529357</v>
      </c>
      <c r="AV22">
        <f t="shared" si="22"/>
        <v>56.990554576504529</v>
      </c>
    </row>
    <row r="23" spans="1:54" ht="21" x14ac:dyDescent="0.35">
      <c r="A23" s="1"/>
      <c r="B23" s="1"/>
      <c r="C23" s="198" t="s">
        <v>245</v>
      </c>
      <c r="D23" s="198"/>
      <c r="E23" s="298">
        <v>0.01</v>
      </c>
      <c r="F23" s="195" t="s">
        <v>29</v>
      </c>
      <c r="G23" s="1"/>
      <c r="H23" s="1"/>
      <c r="J23" s="1"/>
      <c r="K23" t="s">
        <v>272</v>
      </c>
      <c r="L23">
        <f>'Step 3 - Component Selection'!O19</f>
        <v>0.7117101990686544</v>
      </c>
      <c r="P23">
        <f t="shared" si="24"/>
        <v>2000</v>
      </c>
      <c r="R23" t="str">
        <f t="shared" si="0"/>
        <v>0.0254358146246702-0.13910628338728i</v>
      </c>
      <c r="S23" t="str">
        <f t="shared" si="9"/>
        <v>0.0991199844826204-0.542078673486203i</v>
      </c>
      <c r="U23">
        <f t="shared" si="10"/>
        <v>9.9119984482620396E-2</v>
      </c>
      <c r="V23">
        <f t="shared" si="11"/>
        <v>-0.54207867348620298</v>
      </c>
      <c r="W23" s="105">
        <f t="shared" si="12"/>
        <v>2000</v>
      </c>
      <c r="X23" s="84">
        <f t="shared" si="1"/>
        <v>-5.1759230477493645</v>
      </c>
      <c r="Y23" s="84">
        <f t="shared" si="2"/>
        <v>-79.637844965671448</v>
      </c>
      <c r="AB23" t="str">
        <f t="shared" si="13"/>
        <v>-0.00221238938053097+0.374777981523746i</v>
      </c>
      <c r="AD23">
        <f t="shared" si="14"/>
        <v>2000</v>
      </c>
      <c r="AE23" s="83">
        <f t="shared" si="15"/>
        <v>-8.5243673036592078</v>
      </c>
      <c r="AF23" s="83">
        <f t="shared" si="16"/>
        <v>90.338224516868053</v>
      </c>
      <c r="AH23" t="str">
        <f t="shared" si="17"/>
        <v>-1.00221238938053+0.374777981523746i</v>
      </c>
      <c r="AI23" t="str">
        <f t="shared" si="18"/>
        <v>-6.95744952903197+5.04553138926554i</v>
      </c>
      <c r="AJ23" t="str">
        <f t="shared" si="3"/>
        <v>18580.9502468154-5134.18548849027i</v>
      </c>
      <c r="AK23" s="83">
        <f t="shared" si="19"/>
        <v>-6.9574495290319698</v>
      </c>
      <c r="AL23" s="83">
        <f t="shared" si="4"/>
        <v>5.0455313892655402</v>
      </c>
      <c r="AM23" s="83">
        <f t="shared" si="20"/>
        <v>2000</v>
      </c>
      <c r="AN23" s="83">
        <f t="shared" si="5"/>
        <v>18.684298295009764</v>
      </c>
      <c r="AO23" s="83">
        <f t="shared" si="6"/>
        <v>-35.949562864551815</v>
      </c>
      <c r="AR23" t="str">
        <f t="shared" si="7"/>
        <v>2.0454526731698+4.27159800455543i</v>
      </c>
      <c r="AT23">
        <f t="shared" si="8"/>
        <v>2000</v>
      </c>
      <c r="AU23">
        <f t="shared" si="21"/>
        <v>13.508375247260396</v>
      </c>
      <c r="AV23">
        <f t="shared" si="22"/>
        <v>64.41259216977673</v>
      </c>
    </row>
    <row r="24" spans="1:54" ht="21" x14ac:dyDescent="0.35">
      <c r="A24" s="1"/>
      <c r="B24" s="1"/>
      <c r="C24" s="238" t="s">
        <v>246</v>
      </c>
      <c r="D24" s="238"/>
      <c r="E24" s="93">
        <f>'Loop Stability Worksht'!E42</f>
        <v>0.99</v>
      </c>
      <c r="F24" s="232" t="s">
        <v>29</v>
      </c>
      <c r="G24" s="1"/>
      <c r="H24">
        <f>1/(1000*D31)</f>
        <v>8.3333333333333339E-4</v>
      </c>
      <c r="J24" s="1"/>
      <c r="L24">
        <f>L22*L23</f>
        <v>2.8468407962746176</v>
      </c>
      <c r="P24">
        <f t="shared" si="24"/>
        <v>3000</v>
      </c>
      <c r="R24" t="str">
        <f t="shared" si="0"/>
        <v>0.0195863930572608-0.0930334395861722i</v>
      </c>
      <c r="S24" t="str">
        <f t="shared" si="9"/>
        <v>0.0763255671010917-0.36253893276932i</v>
      </c>
      <c r="U24">
        <f t="shared" si="10"/>
        <v>7.6325567101091701E-2</v>
      </c>
      <c r="V24">
        <f t="shared" si="11"/>
        <v>-0.36253893276931998</v>
      </c>
      <c r="W24" s="105">
        <f t="shared" si="12"/>
        <v>3000</v>
      </c>
      <c r="X24" s="84">
        <f t="shared" si="1"/>
        <v>-8.6245578406842451</v>
      </c>
      <c r="Y24" s="84">
        <f t="shared" si="2"/>
        <v>-78.111102664426738</v>
      </c>
      <c r="AB24" t="str">
        <f t="shared" si="13"/>
        <v>-0.00221238938053097+0.249851987682498i</v>
      </c>
      <c r="AD24">
        <f t="shared" si="14"/>
        <v>3000</v>
      </c>
      <c r="AE24" s="83">
        <f t="shared" si="15"/>
        <v>-12.046003318055817</v>
      </c>
      <c r="AF24" s="83">
        <f t="shared" si="16"/>
        <v>90.507329409235638</v>
      </c>
      <c r="AH24" t="str">
        <f t="shared" si="17"/>
        <v>-1.00221238938053+0.249851987682498i</v>
      </c>
      <c r="AI24" t="str">
        <f t="shared" si="18"/>
        <v>-6.39079450271694+4.73086178560455i</v>
      </c>
      <c r="AJ24" t="str">
        <f t="shared" si="3"/>
        <v>17067.6099333669-7074.04148435225i</v>
      </c>
      <c r="AK24" s="83">
        <f t="shared" si="19"/>
        <v>-6.3907945027169397</v>
      </c>
      <c r="AL24" s="83">
        <f t="shared" si="4"/>
        <v>4.7308617856045503</v>
      </c>
      <c r="AM24" s="83">
        <f t="shared" si="20"/>
        <v>3000</v>
      </c>
      <c r="AN24" s="83">
        <f t="shared" si="5"/>
        <v>18.008772127846541</v>
      </c>
      <c r="AO24" s="83">
        <f t="shared" si="6"/>
        <v>-36.511136663503876</v>
      </c>
      <c r="AR24" t="str">
        <f t="shared" si="7"/>
        <v>1.22734056818582+2.67799752722619i</v>
      </c>
      <c r="AT24">
        <f t="shared" si="8"/>
        <v>3000</v>
      </c>
      <c r="AU24">
        <f t="shared" si="21"/>
        <v>9.3842142871622993</v>
      </c>
      <c r="AV24">
        <f t="shared" si="22"/>
        <v>65.377760672069471</v>
      </c>
    </row>
    <row r="25" spans="1:54" ht="21" x14ac:dyDescent="0.35">
      <c r="A25" s="1"/>
      <c r="B25" s="1"/>
      <c r="C25" s="473" t="s">
        <v>247</v>
      </c>
      <c r="D25" s="473"/>
      <c r="E25" s="15">
        <f>'Loop Stability Worksht'!E43</f>
        <v>1.8585858585858588</v>
      </c>
      <c r="F25" s="55" t="s">
        <v>134</v>
      </c>
      <c r="G25" s="1"/>
      <c r="J25" s="1"/>
      <c r="P25">
        <f t="shared" si="24"/>
        <v>4000</v>
      </c>
      <c r="R25" t="str">
        <f t="shared" si="0"/>
        <v>0.0175302664390155-0.0698530929796435i</v>
      </c>
      <c r="S25" t="str">
        <f t="shared" si="9"/>
        <v>0.0683131153081341-0.272208206985825i</v>
      </c>
      <c r="U25">
        <f t="shared" si="10"/>
        <v>6.8313115308134095E-2</v>
      </c>
      <c r="V25">
        <f t="shared" si="11"/>
        <v>-0.27220820698582499</v>
      </c>
      <c r="W25" s="105">
        <f t="shared" si="12"/>
        <v>4000</v>
      </c>
      <c r="X25" s="84">
        <f t="shared" si="1"/>
        <v>-11.036722934313438</v>
      </c>
      <c r="Y25" s="84">
        <f t="shared" si="2"/>
        <v>-75.912050569500735</v>
      </c>
      <c r="AB25" t="str">
        <f t="shared" si="13"/>
        <v>-0.00221238938053097+0.187388990761873i</v>
      </c>
      <c r="AD25">
        <f t="shared" si="14"/>
        <v>4000</v>
      </c>
      <c r="AE25" s="83">
        <f t="shared" si="15"/>
        <v>-14.544513230659785</v>
      </c>
      <c r="AF25" s="83">
        <f t="shared" si="16"/>
        <v>90.676425463185922</v>
      </c>
      <c r="AH25" t="str">
        <f t="shared" si="17"/>
        <v>-1.00221238938053+0.187388990761873i</v>
      </c>
      <c r="AI25" t="str">
        <f t="shared" si="18"/>
        <v>-5.73667518240634+4.73179645989145i</v>
      </c>
      <c r="AJ25" t="str">
        <f t="shared" si="3"/>
        <v>15320.6826296969-8466.65271542138i</v>
      </c>
      <c r="AK25" s="83">
        <f t="shared" si="19"/>
        <v>-5.7366751824063398</v>
      </c>
      <c r="AL25" s="83">
        <f t="shared" si="4"/>
        <v>4.7317964598914504</v>
      </c>
      <c r="AM25" s="83">
        <f t="shared" si="20"/>
        <v>4000</v>
      </c>
      <c r="AN25" s="83">
        <f t="shared" si="5"/>
        <v>17.427199471192022</v>
      </c>
      <c r="AO25" s="83">
        <f t="shared" si="6"/>
        <v>-39.516922346974013</v>
      </c>
      <c r="AR25" t="str">
        <f t="shared" si="7"/>
        <v>0.89614367694789+1.8848138226421i</v>
      </c>
      <c r="AT25">
        <f t="shared" si="8"/>
        <v>4000</v>
      </c>
      <c r="AU25">
        <f t="shared" si="21"/>
        <v>6.3904765368785963</v>
      </c>
      <c r="AV25">
        <f t="shared" si="22"/>
        <v>64.571027083525323</v>
      </c>
    </row>
    <row r="26" spans="1:54" ht="21" x14ac:dyDescent="0.35">
      <c r="A26" s="1"/>
      <c r="B26" s="1"/>
      <c r="C26" s="21"/>
      <c r="D26" s="21"/>
      <c r="E26" s="204"/>
      <c r="F26" s="205"/>
      <c r="G26" s="1"/>
      <c r="J26" s="1"/>
      <c r="W26" s="197"/>
    </row>
    <row r="27" spans="1:54" ht="51.75" customHeight="1" x14ac:dyDescent="0.25">
      <c r="A27" s="1"/>
      <c r="B27" s="1"/>
      <c r="C27" s="470" t="s">
        <v>316</v>
      </c>
      <c r="D27" s="470"/>
      <c r="E27" s="299">
        <v>5000</v>
      </c>
      <c r="F27" s="195" t="s">
        <v>27</v>
      </c>
      <c r="G27" s="1"/>
      <c r="J27" s="1"/>
      <c r="W27" s="197"/>
    </row>
    <row r="28" spans="1:54" x14ac:dyDescent="0.25">
      <c r="A28" s="1"/>
      <c r="B28" s="1"/>
      <c r="C28" s="94"/>
      <c r="D28" s="95"/>
      <c r="E28" s="95"/>
      <c r="F28" s="95"/>
      <c r="G28" s="1"/>
      <c r="H28" s="1"/>
      <c r="J28" s="1"/>
      <c r="P28">
        <f>10*P17</f>
        <v>5000</v>
      </c>
      <c r="R28" t="str">
        <f>IMDIV(COMPLEX(($E$25*$F$21),-$E$25/($F$20*P28)),COMPLEX(($E$25+$F$21),-1/($F$20*P28)))</f>
        <v>0.0165770161771484-0.0559114088621557i</v>
      </c>
      <c r="S28" t="str">
        <f t="shared" si="9"/>
        <v>0.0645984259003618-0.217879319400417i</v>
      </c>
      <c r="U28">
        <f t="shared" si="10"/>
        <v>6.45984259003618E-2</v>
      </c>
      <c r="V28">
        <f t="shared" si="11"/>
        <v>-0.21787931940041699</v>
      </c>
      <c r="W28" s="105">
        <f t="shared" si="12"/>
        <v>5000</v>
      </c>
      <c r="X28" s="84">
        <f t="shared" si="1"/>
        <v>-12.869771468394458</v>
      </c>
      <c r="Y28" s="84">
        <f t="shared" si="2"/>
        <v>-73.485584760069557</v>
      </c>
      <c r="AB28" t="str">
        <f>IMDIV(COMPLEX($F$39,-1/(6.28*$F$37*W28)),-$F$35)</f>
        <v>-0.00221238938053097+0.149911192609498i</v>
      </c>
      <c r="AD28">
        <f t="shared" si="14"/>
        <v>5000</v>
      </c>
      <c r="AE28" s="83">
        <f t="shared" si="15"/>
        <v>-16.482373032252656</v>
      </c>
      <c r="AF28" s="83">
        <f t="shared" si="16"/>
        <v>90.845509734016815</v>
      </c>
      <c r="AH28" t="str">
        <f t="shared" si="17"/>
        <v>-1.00221238938053+0.149911192609498i</v>
      </c>
      <c r="AI28" t="str">
        <f t="shared" si="18"/>
        <v>-5.06953823127057+4.75120192453568i</v>
      </c>
      <c r="AJ28" t="str">
        <f>IMDIV(COMPLEX(0,-$L$17/(6.28*AD28*($D$17+$D$7)*0.000000001)),COMPLEX($L$17,-1/(6.28*AD28*($D$17+$D$7)*0.000000001)))</f>
        <v>13538.9897197965-9352.54704749441i</v>
      </c>
      <c r="AK28" s="83">
        <f t="shared" si="19"/>
        <v>-5.0695382312705703</v>
      </c>
      <c r="AL28" s="83">
        <f t="shared" si="4"/>
        <v>4.75120192453568</v>
      </c>
      <c r="AM28" s="83">
        <f t="shared" si="20"/>
        <v>5000</v>
      </c>
      <c r="AN28" s="83">
        <f t="shared" si="5"/>
        <v>16.837145240611729</v>
      </c>
      <c r="AO28" s="83">
        <f t="shared" si="6"/>
        <v>-43.143424784660155</v>
      </c>
      <c r="AR28" t="str">
        <f t="shared" si="7"/>
        <v>0.707704451870002+1.4114677049634i</v>
      </c>
      <c r="AT28">
        <f t="shared" si="8"/>
        <v>5000</v>
      </c>
      <c r="AU28">
        <f t="shared" si="21"/>
        <v>3.9673737722172726</v>
      </c>
      <c r="AV28">
        <f t="shared" si="22"/>
        <v>63.370990455270295</v>
      </c>
    </row>
    <row r="29" spans="1:54" ht="31.5" x14ac:dyDescent="0.25">
      <c r="A29" s="1"/>
      <c r="B29" s="1"/>
      <c r="C29" s="474" t="s">
        <v>309</v>
      </c>
      <c r="D29" s="474"/>
      <c r="E29" s="474"/>
      <c r="F29" s="474"/>
      <c r="G29" s="1"/>
      <c r="J29" s="1"/>
      <c r="P29">
        <f>10*P18</f>
        <v>6000</v>
      </c>
      <c r="R29" t="str">
        <f>IMDIV(COMPLEX(($E$25*$F$21),-$E$25/($F$20*P29)),COMPLEX(($E$25+$F$21),-1/($F$20*P29)))</f>
        <v>0.0160587873521476-0.0466059490991306i</v>
      </c>
      <c r="S29" t="str">
        <f t="shared" si="9"/>
        <v>0.0625789571374976-0.181617181115288i</v>
      </c>
      <c r="U29">
        <f t="shared" si="10"/>
        <v>6.2578957137497601E-2</v>
      </c>
      <c r="V29">
        <f t="shared" si="11"/>
        <v>-0.18161718111528799</v>
      </c>
      <c r="W29" s="105">
        <f t="shared" si="12"/>
        <v>6000</v>
      </c>
      <c r="X29" s="84">
        <f t="shared" si="1"/>
        <v>-14.329627312716317</v>
      </c>
      <c r="Y29" s="84">
        <f t="shared" si="2"/>
        <v>-70.987831950605084</v>
      </c>
      <c r="AB29" t="str">
        <f>IMDIV(COMPLEX($F$39,-1/(6.28*$F$37*W29)),-$F$35)</f>
        <v>-0.00221238938053097+0.124925993841248i</v>
      </c>
      <c r="AD29">
        <f t="shared" si="14"/>
        <v>6000</v>
      </c>
      <c r="AE29" s="83">
        <f t="shared" si="15"/>
        <v>-18.065581873419337</v>
      </c>
      <c r="AF29" s="83">
        <f t="shared" si="16"/>
        <v>91.014579278257614</v>
      </c>
      <c r="AH29" t="str">
        <f t="shared" si="17"/>
        <v>-1.00221238938053+0.124925993841248i</v>
      </c>
      <c r="AI29" t="str">
        <f t="shared" si="18"/>
        <v>-4.43864569301282+4.72041527405149i</v>
      </c>
      <c r="AJ29" t="str">
        <f>IMDIV(COMPLEX(0,-$L$17/(6.28*AD29*($D$17+$D$7)*0.000000001)),COMPLEX($L$17,-1/(6.28*AD29*($D$17+$D$7)*0.000000001)))</f>
        <v>11854.0931473473-9826.37252797446i</v>
      </c>
      <c r="AK29" s="83">
        <f t="shared" si="19"/>
        <v>-4.4386456930128197</v>
      </c>
      <c r="AL29" s="83">
        <f t="shared" si="4"/>
        <v>4.72041527405149</v>
      </c>
      <c r="AM29" s="83">
        <f t="shared" si="20"/>
        <v>6000</v>
      </c>
      <c r="AN29" s="83">
        <f t="shared" si="5"/>
        <v>16.230827370104809</v>
      </c>
      <c r="AO29" s="83">
        <f t="shared" si="6"/>
        <v>-46.762093040070162</v>
      </c>
      <c r="AR29" t="str">
        <f t="shared" si="7"/>
        <v>0.579542697195194+1.10153298384056i</v>
      </c>
      <c r="AT29">
        <f t="shared" si="8"/>
        <v>6000</v>
      </c>
      <c r="AU29">
        <f t="shared" si="21"/>
        <v>1.9012000573884986</v>
      </c>
      <c r="AV29">
        <f t="shared" si="22"/>
        <v>62.25007500932476</v>
      </c>
    </row>
    <row r="30" spans="1:54" ht="21" x14ac:dyDescent="0.35">
      <c r="A30" s="1"/>
      <c r="B30" s="1"/>
      <c r="C30" s="85" t="s">
        <v>285</v>
      </c>
      <c r="D30" s="223">
        <f>'Loop Stability Worksht'!D24</f>
        <v>6.9</v>
      </c>
      <c r="E30" s="231" t="s">
        <v>71</v>
      </c>
      <c r="F30" s="456" t="s">
        <v>273</v>
      </c>
      <c r="G30" s="475"/>
      <c r="J30" s="1"/>
      <c r="P30">
        <f>10*P19</f>
        <v>7000</v>
      </c>
      <c r="R30" t="str">
        <f>IMDIV(COMPLEX(($E$25*$F$21),-$E$25/($F$20*P30)),COMPLEX(($E$25+$F$21),-1/($F$20*P30)))</f>
        <v>0.0157461707721745-0.0399547342322912i</v>
      </c>
      <c r="S30" t="str">
        <f t="shared" si="9"/>
        <v>0.0613607319297274-0.155698281952048i</v>
      </c>
      <c r="U30">
        <f t="shared" si="10"/>
        <v>6.1360731929727401E-2</v>
      </c>
      <c r="V30">
        <f t="shared" si="11"/>
        <v>-0.15569828195204799</v>
      </c>
      <c r="W30" s="105">
        <f t="shared" si="12"/>
        <v>7000</v>
      </c>
      <c r="X30" s="84">
        <f t="shared" si="1"/>
        <v>-15.527319443827201</v>
      </c>
      <c r="Y30" s="84">
        <f t="shared" si="2"/>
        <v>-68.490587841910056</v>
      </c>
      <c r="AB30" t="str">
        <f>IMDIV(COMPLEX($F$39,-1/(6.28*$F$37*W30)),-$F$35)</f>
        <v>-0.00221238938053097+0.107079423292499i</v>
      </c>
      <c r="AD30">
        <f t="shared" si="14"/>
        <v>7000</v>
      </c>
      <c r="AE30" s="83">
        <f t="shared" si="15"/>
        <v>-19.404025986763521</v>
      </c>
      <c r="AF30" s="83">
        <f t="shared" si="16"/>
        <v>91.183631153976009</v>
      </c>
      <c r="AH30" t="str">
        <f t="shared" si="17"/>
        <v>-1.00221238938053+0.107079423292499i</v>
      </c>
      <c r="AI30" t="str">
        <f t="shared" si="18"/>
        <v>-3.86953535522073+4.63454086936117i</v>
      </c>
      <c r="AJ30" t="str">
        <f>IMDIV(COMPLEX(0,-$L$17/(6.28*AD30*($D$17+$D$7)*0.000000001)),COMPLEX($L$17,-1/(6.28*AD30*($D$17+$D$7)*0.000000001)))</f>
        <v>10334.1955430115-9994.20730941106i</v>
      </c>
      <c r="AK30" s="83">
        <f t="shared" si="19"/>
        <v>-3.8695353552207301</v>
      </c>
      <c r="AL30" s="83">
        <f t="shared" si="4"/>
        <v>4.63454086936117</v>
      </c>
      <c r="AM30" s="83">
        <f t="shared" si="20"/>
        <v>7000</v>
      </c>
      <c r="AN30" s="83">
        <f t="shared" si="5"/>
        <v>15.61724613377941</v>
      </c>
      <c r="AO30" s="83">
        <f t="shared" si="6"/>
        <v>-50.140349559421388</v>
      </c>
      <c r="AR30" t="str">
        <f t="shared" si="7"/>
        <v>0.484152529371783+0.886858826662812i</v>
      </c>
      <c r="AT30">
        <f t="shared" si="8"/>
        <v>7000</v>
      </c>
      <c r="AU30">
        <f t="shared" si="21"/>
        <v>8.9926689952208372E-2</v>
      </c>
      <c r="AV30">
        <f t="shared" si="22"/>
        <v>61.369062598668577</v>
      </c>
    </row>
    <row r="31" spans="1:54" ht="21" x14ac:dyDescent="0.35">
      <c r="A31" s="1"/>
      <c r="B31" s="1"/>
      <c r="C31" s="85" t="s">
        <v>286</v>
      </c>
      <c r="D31" s="86">
        <v>1.2</v>
      </c>
      <c r="E31" s="113">
        <f>0.001*('Step 2 - Operating Conditions'!J8-2.5-'Loop Stability Worksht'!D7)/'Loop Stability Worksht'!L20</f>
        <v>20.6</v>
      </c>
      <c r="F31" s="114" t="s">
        <v>288</v>
      </c>
      <c r="H31" s="1"/>
      <c r="J31" s="1"/>
      <c r="P31">
        <f>10*P20</f>
        <v>8000</v>
      </c>
      <c r="R31" t="str">
        <f>IMDIV(COMPLEX(($E$25*$F$21),-$E$25/($F$20*P31)),COMPLEX(($E$25+$F$21),-1/($F$20*P31)))</f>
        <v>0.0155432138127905-0.0349642427365964i</v>
      </c>
      <c r="S31" t="str">
        <f t="shared" si="9"/>
        <v>0.0605698356694098-0.136251000749812i</v>
      </c>
      <c r="U31">
        <f t="shared" si="10"/>
        <v>6.0569835669409801E-2</v>
      </c>
      <c r="V31">
        <f t="shared" si="11"/>
        <v>-0.136251000749812</v>
      </c>
      <c r="W31" s="105">
        <f t="shared" si="12"/>
        <v>8000</v>
      </c>
      <c r="X31" s="84">
        <f t="shared" si="1"/>
        <v>-16.530011467887498</v>
      </c>
      <c r="Y31" s="84">
        <f t="shared" si="2"/>
        <v>-66.032652890585425</v>
      </c>
      <c r="AB31" t="str">
        <f>IMDIV(COMPLEX($F$39,-1/(6.28*$F$37*W31)),-$F$35)</f>
        <v>-0.00221238938053097+0.0936944953809363i</v>
      </c>
      <c r="AD31">
        <f t="shared" si="14"/>
        <v>8000</v>
      </c>
      <c r="AE31" s="83">
        <f t="shared" si="15"/>
        <v>-20.563297673245415</v>
      </c>
      <c r="AF31" s="83">
        <f t="shared" si="16"/>
        <v>91.352662421085114</v>
      </c>
      <c r="AH31" t="str">
        <f t="shared" si="17"/>
        <v>-1.00221238938053+0.0936944953809363i</v>
      </c>
      <c r="AI31" t="str">
        <f t="shared" si="18"/>
        <v>-3.37084328374041+4.50642299770043i</v>
      </c>
      <c r="AJ31" t="str">
        <f>IMDIV(COMPLEX(0,-$L$17/(6.28*AD31*($D$17+$D$7)*0.000000001)),COMPLEX($L$17,-1/(6.28*AD31*($D$17+$D$7)*0.000000001)))</f>
        <v>9002.36086278974-9949.93041581589i</v>
      </c>
      <c r="AK31" s="83">
        <f t="shared" si="19"/>
        <v>-3.3708432837404101</v>
      </c>
      <c r="AL31" s="83">
        <f t="shared" si="4"/>
        <v>4.5064229977004304</v>
      </c>
      <c r="AM31" s="83">
        <f t="shared" si="20"/>
        <v>8000</v>
      </c>
      <c r="AN31" s="83">
        <f t="shared" si="5"/>
        <v>15.006539966927779</v>
      </c>
      <c r="AO31" s="83">
        <f t="shared" si="6"/>
        <v>-53.203194394913446</v>
      </c>
      <c r="AR31" t="str">
        <f t="shared" si="7"/>
        <v>0.409833219475161+0.732234071207978i</v>
      </c>
      <c r="AT31">
        <f t="shared" si="8"/>
        <v>8000</v>
      </c>
      <c r="AU31">
        <f t="shared" si="21"/>
        <v>-1.5234715009597148</v>
      </c>
      <c r="AV31">
        <f t="shared" si="22"/>
        <v>60.764152714501158</v>
      </c>
    </row>
    <row r="32" spans="1:54" ht="27.75" customHeight="1" x14ac:dyDescent="0.35">
      <c r="A32" s="1"/>
      <c r="B32" s="1"/>
      <c r="C32" s="300" t="s">
        <v>313</v>
      </c>
      <c r="D32" s="227">
        <f>BB19</f>
        <v>2.2161436053321535</v>
      </c>
      <c r="E32" s="301" t="s">
        <v>71</v>
      </c>
      <c r="F32" s="208"/>
      <c r="G32" s="1"/>
      <c r="H32" s="1"/>
      <c r="J32" s="1"/>
      <c r="W32" s="197"/>
    </row>
    <row r="33" spans="1:54" ht="21" x14ac:dyDescent="0.35">
      <c r="A33" s="1"/>
      <c r="B33" s="1"/>
      <c r="C33" s="20"/>
      <c r="D33" s="68"/>
      <c r="E33" s="112"/>
      <c r="F33" s="68"/>
      <c r="G33" s="1"/>
      <c r="J33" s="1"/>
      <c r="P33">
        <f>10*P21</f>
        <v>9000</v>
      </c>
      <c r="R33" t="str">
        <f>IMDIV(COMPLEX(($E$25*$F$21),-$E$25/($F$20*P33)),COMPLEX(($E$25+$F$21),-1/($F$20*P33)))</f>
        <v>0.0154040413565671-0.0310816737495613i</v>
      </c>
      <c r="S33" t="str">
        <f t="shared" si="9"/>
        <v>0.0600274991291879-0.121121146116638i</v>
      </c>
      <c r="U33">
        <f t="shared" si="10"/>
        <v>6.0027499129187901E-2</v>
      </c>
      <c r="V33">
        <f t="shared" si="11"/>
        <v>-0.121121146116638</v>
      </c>
      <c r="W33" s="105">
        <f t="shared" si="12"/>
        <v>9000</v>
      </c>
      <c r="X33" s="84">
        <f t="shared" si="1"/>
        <v>-17.381751089329605</v>
      </c>
      <c r="Y33" s="84">
        <f t="shared" si="2"/>
        <v>-63.637038218044708</v>
      </c>
      <c r="AB33" t="str">
        <f>IMDIV(COMPLEX($F$39,-1/(6.28*$F$37*W33)),-$F$35)</f>
        <v>-0.00221238938053097+0.0832839958941657i</v>
      </c>
      <c r="AD33">
        <f t="shared" si="14"/>
        <v>9000</v>
      </c>
      <c r="AE33" s="83">
        <f t="shared" si="15"/>
        <v>-21.585705324934104</v>
      </c>
      <c r="AF33" s="83">
        <f t="shared" si="16"/>
        <v>91.521670141649693</v>
      </c>
      <c r="AH33" t="str">
        <f t="shared" si="17"/>
        <v>-1.00221238938053+0.0832839958941657i</v>
      </c>
      <c r="AI33" t="str">
        <f t="shared" si="18"/>
        <v>-2.94124502498249+4.35120798882249i</v>
      </c>
      <c r="AJ33" t="str">
        <f>IMDIV(COMPLEX(0,-$L$17/(6.28*AD33*($D$17+$D$7)*0.000000001)),COMPLEX($L$17,-1/(6.28*AD33*($D$17+$D$7)*0.000000001)))</f>
        <v>7855.05194753413-9767.09045183277i</v>
      </c>
      <c r="AK33" s="83">
        <f t="shared" si="19"/>
        <v>-2.9412450249824902</v>
      </c>
      <c r="AL33" s="83">
        <f t="shared" si="4"/>
        <v>4.3512079888224902</v>
      </c>
      <c r="AM33" s="83">
        <f t="shared" si="20"/>
        <v>9000</v>
      </c>
      <c r="AN33" s="83">
        <f t="shared" si="5"/>
        <v>14.406561933436794</v>
      </c>
      <c r="AO33" s="83">
        <f t="shared" si="6"/>
        <v>-55.942857310644897</v>
      </c>
      <c r="AR33" t="str">
        <f t="shared" si="7"/>
        <v>0.350467715422187+0.617439102195696i</v>
      </c>
      <c r="AT33">
        <f t="shared" si="8"/>
        <v>9000</v>
      </c>
      <c r="AU33">
        <f t="shared" si="21"/>
        <v>-2.9751891558928136</v>
      </c>
      <c r="AV33">
        <f t="shared" si="22"/>
        <v>60.420104471310367</v>
      </c>
    </row>
    <row r="34" spans="1:54" ht="21" x14ac:dyDescent="0.35">
      <c r="A34" s="1"/>
      <c r="B34" s="1"/>
      <c r="C34" s="85" t="s">
        <v>195</v>
      </c>
      <c r="D34" s="86">
        <v>10</v>
      </c>
      <c r="E34" s="196" t="s">
        <v>71</v>
      </c>
      <c r="F34" s="68"/>
      <c r="G34" s="1"/>
      <c r="J34" s="1"/>
      <c r="P34">
        <f>10*P22</f>
        <v>10000</v>
      </c>
      <c r="R34" t="str">
        <f>IMDIV(COMPLEX(($E$25*$F$21),-$E$25/($F$20*P34)),COMPLEX(($E$25+$F$21),-1/($F$20*P34)))</f>
        <v>0.0153044792223941-0.0279750174040484i</v>
      </c>
      <c r="S34" t="str">
        <f t="shared" si="9"/>
        <v>0.059639518742481-0.10901491978562i</v>
      </c>
      <c r="U34">
        <f t="shared" si="10"/>
        <v>5.9639518742481003E-2</v>
      </c>
      <c r="V34">
        <f t="shared" si="11"/>
        <v>-0.10901491978562</v>
      </c>
      <c r="W34" s="105">
        <f t="shared" si="12"/>
        <v>10000</v>
      </c>
      <c r="X34" s="84">
        <f t="shared" si="1"/>
        <v>-18.113210632079809</v>
      </c>
      <c r="Y34" s="84">
        <f t="shared" si="2"/>
        <v>-61.317959803902127</v>
      </c>
      <c r="AB34" t="str">
        <f>IMDIV(COMPLEX($F$39,-1/(6.28*$F$37*W34)),-$F$35)</f>
        <v>-0.00221238938053097+0.0749555963047491i</v>
      </c>
      <c r="AD34">
        <f t="shared" si="14"/>
        <v>10000</v>
      </c>
      <c r="AE34" s="83">
        <f t="shared" si="15"/>
        <v>-22.500136828251751</v>
      </c>
      <c r="AF34" s="83">
        <f t="shared" si="16"/>
        <v>91.690651380191852</v>
      </c>
      <c r="AH34" t="str">
        <f t="shared" si="17"/>
        <v>-1.00221238938053+0.0749555963047491i</v>
      </c>
      <c r="AI34" t="str">
        <f t="shared" si="18"/>
        <v>-2.5745315648546+4.18151914882639i</v>
      </c>
      <c r="AJ34" t="str">
        <f>IMDIV(COMPLEX(0,-$L$17/(6.28*AD34*($D$17+$D$7)*0.000000001)),COMPLEX($L$17,-1/(6.28*AD34*($D$17+$D$7)*0.000000001)))</f>
        <v>6875.68666014815-9499.2587044866i</v>
      </c>
      <c r="AK34" s="83">
        <f t="shared" si="19"/>
        <v>-2.5745315648545999</v>
      </c>
      <c r="AL34" s="83">
        <f t="shared" si="4"/>
        <v>4.1815191488263901</v>
      </c>
      <c r="AM34" s="83">
        <f t="shared" si="20"/>
        <v>10000</v>
      </c>
      <c r="AN34" s="83">
        <f t="shared" si="5"/>
        <v>13.822569225819519</v>
      </c>
      <c r="AO34" s="83">
        <f t="shared" si="6"/>
        <v>-58.379688718047262</v>
      </c>
      <c r="AR34" t="str">
        <f t="shared" si="7"/>
        <v>0.302304151076088+0.530046141676646i</v>
      </c>
      <c r="AT34">
        <f t="shared" si="8"/>
        <v>10000</v>
      </c>
      <c r="AU34">
        <f t="shared" si="21"/>
        <v>-4.2906414062602867</v>
      </c>
      <c r="AV34">
        <f t="shared" si="22"/>
        <v>60.302351478050639</v>
      </c>
    </row>
    <row r="35" spans="1:54" ht="21" x14ac:dyDescent="0.35">
      <c r="A35" s="1"/>
      <c r="B35" s="1"/>
      <c r="C35" s="85" t="s">
        <v>194</v>
      </c>
      <c r="D35" s="223">
        <f>'Loop Stability Worksht'!D28</f>
        <v>45.2</v>
      </c>
      <c r="E35" s="231" t="s">
        <v>71</v>
      </c>
      <c r="F35" s="68">
        <f>D35*1000</f>
        <v>45200</v>
      </c>
      <c r="G35" s="1"/>
      <c r="H35" s="1"/>
      <c r="J35" s="1"/>
      <c r="P35">
        <f>10*P23</f>
        <v>20000</v>
      </c>
      <c r="R35" t="str">
        <f>IMDIV(COMPLEX(($E$25*$F$21),-$E$25/($F$20*P35)),COMPLEX(($E$25+$F$21),-1/($F$20*P35)))</f>
        <v>0.0149860702106576-0.0139899249087262i</v>
      </c>
      <c r="S35" t="str">
        <f t="shared" si="9"/>
        <v>0.058398721199011-0.0545168755287681i</v>
      </c>
      <c r="U35">
        <f t="shared" si="10"/>
        <v>5.8398721199011003E-2</v>
      </c>
      <c r="V35">
        <f t="shared" si="11"/>
        <v>-5.4516875528768098E-2</v>
      </c>
      <c r="W35" s="105">
        <f t="shared" si="12"/>
        <v>20000</v>
      </c>
      <c r="X35" s="84">
        <f t="shared" si="1"/>
        <v>-21.950091523611523</v>
      </c>
      <c r="Y35" s="84">
        <f t="shared" si="2"/>
        <v>-43.031044238969926</v>
      </c>
      <c r="AB35" t="str">
        <f>IMDIV(COMPLEX($F$39,-1/(6.28*$F$37*W35)),-$F$35)</f>
        <v>-0.00221238938053097+0.0374777981523746i</v>
      </c>
      <c r="AD35">
        <f t="shared" si="14"/>
        <v>20000</v>
      </c>
      <c r="AE35" s="83">
        <f t="shared" si="15"/>
        <v>-28.509410757188093</v>
      </c>
      <c r="AF35" s="83">
        <f t="shared" si="16"/>
        <v>93.378363814773493</v>
      </c>
      <c r="AH35" t="str">
        <f t="shared" si="17"/>
        <v>-1.00221238938053+0.0374777981523746i</v>
      </c>
      <c r="AI35" t="str">
        <f t="shared" si="18"/>
        <v>-0.867246746668529+2.70863702225715i</v>
      </c>
      <c r="AJ35" t="str">
        <f>IMDIV(COMPLEX(0,-$L$17/(6.28*AD35*($D$17+$D$7)*0.000000001)),COMPLEX($L$17,-1/(6.28*AD35*($D$17+$D$7)*0.000000001)))</f>
        <v>2316.11721857543-6399.76710302556i</v>
      </c>
      <c r="AK35" s="83">
        <f t="shared" si="19"/>
        <v>-0.86724674666852897</v>
      </c>
      <c r="AL35" s="83">
        <f t="shared" si="4"/>
        <v>2.7086370222571499</v>
      </c>
      <c r="AM35" s="83">
        <f t="shared" si="20"/>
        <v>20000</v>
      </c>
      <c r="AN35" s="83">
        <f t="shared" si="5"/>
        <v>9.0788578530733695</v>
      </c>
      <c r="AO35" s="83">
        <f t="shared" si="6"/>
        <v>-72.246062915984638</v>
      </c>
      <c r="AR35" t="str">
        <f t="shared" si="7"/>
        <v>0.0970203264255614+0.205460521232972i</v>
      </c>
      <c r="AT35">
        <f t="shared" si="8"/>
        <v>20000</v>
      </c>
      <c r="AU35">
        <f t="shared" si="21"/>
        <v>-12.871233670538151</v>
      </c>
      <c r="AV35">
        <f t="shared" si="22"/>
        <v>64.72289284504545</v>
      </c>
    </row>
    <row r="36" spans="1:54" ht="21" x14ac:dyDescent="0.35">
      <c r="A36" s="1"/>
      <c r="B36" s="1"/>
      <c r="C36" s="20"/>
      <c r="D36" s="68"/>
      <c r="E36" s="22"/>
      <c r="F36" s="68"/>
      <c r="G36" s="1"/>
      <c r="J36" s="1"/>
      <c r="P36">
        <f>10*P24</f>
        <v>30000</v>
      </c>
      <c r="R36" t="str">
        <f>IMDIV(COMPLEX(($E$25*$F$21),-$E$25/($F$20*P36)),COMPLEX(($E$25+$F$21),-1/($F$20*P36)))</f>
        <v>0.0149270935066826-0.00932691496401325i</v>
      </c>
      <c r="S36" t="str">
        <f t="shared" si="9"/>
        <v>0.0581688968324987-0.0363457463480276i</v>
      </c>
      <c r="U36">
        <f t="shared" si="10"/>
        <v>5.81688968324987E-2</v>
      </c>
      <c r="V36">
        <f t="shared" si="11"/>
        <v>-3.6345746348027598E-2</v>
      </c>
      <c r="W36" s="105">
        <f t="shared" si="12"/>
        <v>30000</v>
      </c>
      <c r="X36" s="84">
        <f t="shared" si="1"/>
        <v>-23.274741722495712</v>
      </c>
      <c r="Y36" s="84">
        <f t="shared" si="2"/>
        <v>-31.998431230215271</v>
      </c>
      <c r="AB36" t="str">
        <f>IMDIV(COMPLEX($F$39,-1/(6.28*$F$37*W36)),-$F$35)</f>
        <v>-0.00221238938053097+0.0249851987682498i</v>
      </c>
      <c r="AD36">
        <f t="shared" si="14"/>
        <v>30000</v>
      </c>
      <c r="AE36" s="83">
        <f t="shared" si="15"/>
        <v>-32.012424689459934</v>
      </c>
      <c r="AF36" s="83">
        <f t="shared" si="16"/>
        <v>95.060228896671617</v>
      </c>
      <c r="AH36" t="str">
        <f t="shared" si="17"/>
        <v>-1.00221238938053+0.0249851987682498i</v>
      </c>
      <c r="AI36" t="str">
        <f t="shared" si="18"/>
        <v>-0.411946779386405+1.91560868876241i</v>
      </c>
      <c r="AJ36" t="str">
        <f>IMDIV(COMPLEX(0,-$L$17/(6.28*AD36*($D$17+$D$7)*0.000000001)),COMPLEX($L$17,-1/(6.28*AD36*($D$17+$D$7)*0.000000001)))</f>
        <v>1100.167896321-4559.8846989773i</v>
      </c>
      <c r="AK36" s="83">
        <f t="shared" si="19"/>
        <v>-0.411946779386405</v>
      </c>
      <c r="AL36" s="83">
        <f t="shared" si="4"/>
        <v>1.91560868876241</v>
      </c>
      <c r="AM36" s="83">
        <f t="shared" si="20"/>
        <v>30000</v>
      </c>
      <c r="AN36" s="83">
        <f t="shared" si="5"/>
        <v>5.8424716187285135</v>
      </c>
      <c r="AO36" s="83">
        <f t="shared" si="6"/>
        <v>-77.863520840705092</v>
      </c>
      <c r="AR36" t="str">
        <f t="shared" si="7"/>
        <v>0.0456617377932284+0.126401357340524i</v>
      </c>
      <c r="AT36">
        <f t="shared" si="8"/>
        <v>30000</v>
      </c>
      <c r="AU36">
        <f t="shared" si="21"/>
        <v>-17.432270103767195</v>
      </c>
      <c r="AV36">
        <f t="shared" si="22"/>
        <v>70.138047929079647</v>
      </c>
    </row>
    <row r="37" spans="1:54" ht="21" x14ac:dyDescent="0.35">
      <c r="A37" s="1"/>
      <c r="B37" s="1"/>
      <c r="C37" s="85" t="s">
        <v>283</v>
      </c>
      <c r="D37" s="86">
        <v>4.7</v>
      </c>
      <c r="E37" s="196" t="s">
        <v>72</v>
      </c>
      <c r="F37" s="68">
        <f>D37*0.000000001</f>
        <v>4.7000000000000007E-9</v>
      </c>
      <c r="G37" s="1"/>
      <c r="J37" s="1"/>
      <c r="P37">
        <f>10*P25</f>
        <v>40000</v>
      </c>
      <c r="R37" t="str">
        <f>IMDIV(COMPLEX(($E$25*$F$21),-$E$25/($F$20*P37)),COMPLEX(($E$25+$F$21),-1/($F$20*P37)))</f>
        <v>0.0149064507688331-0.00699526454541872i</v>
      </c>
      <c r="S37" t="str">
        <f t="shared" si="9"/>
        <v>0.0580884548303253-0.0272596149730242i</v>
      </c>
      <c r="U37">
        <f t="shared" si="10"/>
        <v>5.8088454830325299E-2</v>
      </c>
      <c r="V37">
        <f t="shared" si="11"/>
        <v>-2.7259614973024201E-2</v>
      </c>
      <c r="W37" s="105">
        <f t="shared" si="12"/>
        <v>40000</v>
      </c>
      <c r="X37" s="84">
        <f t="shared" si="1"/>
        <v>-23.853816659807279</v>
      </c>
      <c r="Y37" s="84">
        <f t="shared" si="2"/>
        <v>-25.139616969575282</v>
      </c>
      <c r="AB37" t="str">
        <f>IMDIV(COMPLEX($F$39,-1/(6.28*$F$37*W37)),-$F$35)</f>
        <v>-0.00221238938053097+0.0187388990761873i</v>
      </c>
      <c r="AD37">
        <f t="shared" si="14"/>
        <v>40000</v>
      </c>
      <c r="AE37" s="83">
        <f t="shared" si="15"/>
        <v>-34.484999813096032</v>
      </c>
      <c r="AF37" s="83">
        <f t="shared" si="16"/>
        <v>96.733398506898169</v>
      </c>
      <c r="AH37" t="str">
        <f t="shared" si="17"/>
        <v>-1.00221238938053+0.0187388990761873i</v>
      </c>
      <c r="AI37" t="str">
        <f t="shared" si="18"/>
        <v>-0.237434312873684+1.46828511326442i</v>
      </c>
      <c r="AJ37" t="str">
        <f>IMDIV(COMPLEX(0,-$L$17/(6.28*AD37*($D$17+$D$7)*0.000000001)),COMPLEX($L$17,-1/(6.28*AD37*($D$17+$D$7)*0.000000001)))</f>
        <v>634.105232956905-3504.24907443154i</v>
      </c>
      <c r="AK37" s="83">
        <f t="shared" si="19"/>
        <v>-0.23743431287368399</v>
      </c>
      <c r="AL37" s="83">
        <f t="shared" si="4"/>
        <v>1.4682851132644199</v>
      </c>
      <c r="AM37" s="83">
        <f t="shared" si="20"/>
        <v>40000</v>
      </c>
      <c r="AN37" s="83">
        <f t="shared" si="5"/>
        <v>3.4483149989408868</v>
      </c>
      <c r="AO37" s="83">
        <f t="shared" si="6"/>
        <v>-80.814297259662453</v>
      </c>
      <c r="AR37" t="str">
        <f t="shared" si="7"/>
        <v>0.026232694499679+0.0917627814302205i</v>
      </c>
      <c r="AT37">
        <f t="shared" si="8"/>
        <v>40000</v>
      </c>
      <c r="AU37">
        <f t="shared" si="21"/>
        <v>-20.405501660866392</v>
      </c>
      <c r="AV37">
        <f t="shared" si="22"/>
        <v>74.046085770762275</v>
      </c>
      <c r="BA37" t="s">
        <v>314</v>
      </c>
      <c r="BB37">
        <f>1/(6.26*BB13*100*D35)</f>
        <v>7.0683366790126947E-9</v>
      </c>
    </row>
    <row r="38" spans="1:54" ht="21" x14ac:dyDescent="0.35">
      <c r="A38" s="1"/>
      <c r="B38" s="1"/>
      <c r="C38" s="300" t="s">
        <v>315</v>
      </c>
      <c r="D38" s="227">
        <f>BB37*1000000000</f>
        <v>7.0683366790126945</v>
      </c>
      <c r="E38" s="301" t="s">
        <v>72</v>
      </c>
      <c r="F38" s="68"/>
      <c r="G38" s="1"/>
      <c r="J38" s="1"/>
      <c r="W38" s="197"/>
    </row>
    <row r="39" spans="1:54" ht="21" x14ac:dyDescent="0.35">
      <c r="A39" s="1"/>
      <c r="B39" s="1"/>
      <c r="C39" s="85" t="s">
        <v>284</v>
      </c>
      <c r="D39" s="86">
        <v>0.1</v>
      </c>
      <c r="E39" s="196" t="s">
        <v>71</v>
      </c>
      <c r="F39" s="68">
        <f>D39*1000</f>
        <v>100</v>
      </c>
      <c r="G39" s="1"/>
      <c r="H39" s="1"/>
      <c r="J39" s="1"/>
      <c r="P39">
        <f>10*P28</f>
        <v>50000</v>
      </c>
      <c r="R39" t="str">
        <f t="shared" ref="R39:R44" si="25">IMDIV(COMPLEX(($E$25*$F$21),-$E$25/($F$20*P39)),COMPLEX(($E$25+$F$21),-1/($F$20*P39)))</f>
        <v>0.0148968959736746-0.00559624063847904i</v>
      </c>
      <c r="S39" t="str">
        <f t="shared" si="9"/>
        <v>0.0580512210651866-0.0218078049959151i</v>
      </c>
      <c r="U39">
        <f t="shared" si="10"/>
        <v>5.8051221065186599E-2</v>
      </c>
      <c r="V39">
        <f t="shared" si="11"/>
        <v>-2.18078049959151E-2</v>
      </c>
      <c r="W39" s="105">
        <f t="shared" si="12"/>
        <v>50000</v>
      </c>
      <c r="X39" s="84">
        <f t="shared" si="1"/>
        <v>-24.150444031731833</v>
      </c>
      <c r="Y39" s="84">
        <f t="shared" si="2"/>
        <v>-20.589436113890077</v>
      </c>
      <c r="AB39" t="str">
        <f t="shared" ref="AB39:AB44" si="26">IMDIV(COMPLEX($F$39,-1/(6.28*$F$37*W39)),-$F$35)</f>
        <v>-0.00221238938053097+0.0149911192609498i</v>
      </c>
      <c r="AD39">
        <f t="shared" si="14"/>
        <v>50000</v>
      </c>
      <c r="AE39" s="83">
        <f t="shared" si="15"/>
        <v>-36.389745449899785</v>
      </c>
      <c r="AF39" s="83">
        <f t="shared" si="16"/>
        <v>98.39511302390018</v>
      </c>
      <c r="AH39" t="str">
        <f t="shared" si="17"/>
        <v>-1.00221238938053+0.0149911192609498i</v>
      </c>
      <c r="AI39" t="str">
        <f t="shared" si="18"/>
        <v>-0.153712453003069+1.18674788422876i</v>
      </c>
      <c r="AJ39" t="str">
        <f t="shared" ref="AJ39:AJ44" si="27">IMDIV(COMPLEX(0,-$L$17/(6.28*AD39*($D$17+$D$7)*0.000000001)),COMPLEX($L$17,-1/(6.28*AD39*($D$17+$D$7)*0.000000001)))</f>
        <v>410.51299468979-2835.76705197602i</v>
      </c>
      <c r="AK39" s="83">
        <f t="shared" si="19"/>
        <v>-0.15371245300306899</v>
      </c>
      <c r="AL39" s="83">
        <f t="shared" si="4"/>
        <v>1.18674788422876</v>
      </c>
      <c r="AM39" s="83">
        <f t="shared" si="20"/>
        <v>50000</v>
      </c>
      <c r="AN39" s="83">
        <f t="shared" si="5"/>
        <v>1.5594242928698387</v>
      </c>
      <c r="AO39" s="83">
        <f t="shared" si="6"/>
        <v>-82.619903342303985</v>
      </c>
      <c r="AR39" t="str">
        <f t="shared" si="7"/>
        <v>0.0169571708488224+0.0722442949765409i</v>
      </c>
      <c r="AT39">
        <f t="shared" si="8"/>
        <v>50000</v>
      </c>
      <c r="AU39">
        <f t="shared" si="21"/>
        <v>-22.591019738861995</v>
      </c>
      <c r="AV39">
        <f t="shared" si="22"/>
        <v>76.790660543805913</v>
      </c>
    </row>
    <row r="40" spans="1:54" ht="21" x14ac:dyDescent="0.35">
      <c r="A40" s="1"/>
      <c r="B40" s="1"/>
      <c r="C40" s="20"/>
      <c r="D40" s="68"/>
      <c r="E40" s="22"/>
      <c r="F40" s="118"/>
      <c r="G40" s="1"/>
      <c r="J40" s="1"/>
      <c r="P40">
        <f>10*P29</f>
        <v>60000</v>
      </c>
      <c r="R40" t="str">
        <f t="shared" si="25"/>
        <v>0.0148917056730663-0.00466354699404681i</v>
      </c>
      <c r="S40" t="str">
        <f t="shared" si="9"/>
        <v>0.058030995154464-0.0181732219905217i</v>
      </c>
      <c r="U40">
        <f t="shared" si="10"/>
        <v>5.8030995154463999E-2</v>
      </c>
      <c r="V40">
        <f t="shared" si="11"/>
        <v>-1.8173221990521699E-2</v>
      </c>
      <c r="W40" s="105">
        <f t="shared" si="12"/>
        <v>60000</v>
      </c>
      <c r="X40" s="84">
        <f t="shared" si="1"/>
        <v>-24.320492537261931</v>
      </c>
      <c r="Y40" s="84">
        <f t="shared" si="2"/>
        <v>-17.388680824615527</v>
      </c>
      <c r="AB40" t="str">
        <f t="shared" si="26"/>
        <v>-0.00221238938053097+0.0124925993841248i</v>
      </c>
      <c r="AD40">
        <f t="shared" si="14"/>
        <v>60000</v>
      </c>
      <c r="AE40" s="83">
        <f t="shared" si="15"/>
        <v>-37.932828294947583</v>
      </c>
      <c r="AF40" s="83">
        <f t="shared" si="16"/>
        <v>100.04272731417977</v>
      </c>
      <c r="AH40" t="str">
        <f t="shared" si="17"/>
        <v>-1.00221238938053+0.0124925993841248i</v>
      </c>
      <c r="AI40" t="str">
        <f t="shared" si="18"/>
        <v>-0.107418471759166+0.994541267537135i</v>
      </c>
      <c r="AJ40" t="str">
        <f t="shared" si="27"/>
        <v>286.877723081911-2378.05401217956i</v>
      </c>
      <c r="AK40" s="83">
        <f t="shared" si="19"/>
        <v>-0.107418471759166</v>
      </c>
      <c r="AL40" s="83">
        <f t="shared" si="4"/>
        <v>0.99454126753713501</v>
      </c>
      <c r="AM40" s="83">
        <f t="shared" si="20"/>
        <v>60000</v>
      </c>
      <c r="AN40" s="83">
        <f t="shared" si="5"/>
        <v>2.8266015584744418E-3</v>
      </c>
      <c r="AO40" s="83">
        <f t="shared" si="6"/>
        <v>-83.835491142732991</v>
      </c>
      <c r="AR40" t="str">
        <f t="shared" si="7"/>
        <v>0.0118404184195311+0.0596663592105239i</v>
      </c>
      <c r="AT40">
        <f t="shared" si="8"/>
        <v>60000</v>
      </c>
      <c r="AU40">
        <f t="shared" si="21"/>
        <v>-24.317665935703452</v>
      </c>
      <c r="AV40">
        <f t="shared" si="22"/>
        <v>78.775828032651503</v>
      </c>
    </row>
    <row r="41" spans="1:54" ht="21" x14ac:dyDescent="0.35">
      <c r="A41" s="1"/>
      <c r="B41" s="1"/>
      <c r="C41" s="85" t="s">
        <v>248</v>
      </c>
      <c r="D41" s="222">
        <f>'Loop Stability Worksht'!D33</f>
        <v>7.4955596304749045E-2</v>
      </c>
      <c r="E41" s="231" t="s">
        <v>27</v>
      </c>
      <c r="F41" s="420" t="s">
        <v>274</v>
      </c>
      <c r="G41" s="421"/>
      <c r="H41" t="s">
        <v>224</v>
      </c>
      <c r="I41" t="str">
        <f>COMPLEX(F21,F20)</f>
        <v>0.015+0.0035168i</v>
      </c>
      <c r="J41" s="1"/>
      <c r="P41">
        <f>10*P30</f>
        <v>70000</v>
      </c>
      <c r="R41" t="str">
        <f t="shared" si="25"/>
        <v>0.0148885760713783-0.00399733278020824i</v>
      </c>
      <c r="S41" t="str">
        <f t="shared" si="9"/>
        <v>0.058018799513187-0.0155770738619011i</v>
      </c>
      <c r="U41">
        <f t="shared" si="10"/>
        <v>5.8018799513187003E-2</v>
      </c>
      <c r="V41">
        <f t="shared" si="11"/>
        <v>-1.5577073861901099E-2</v>
      </c>
      <c r="W41" s="105">
        <f t="shared" si="12"/>
        <v>70000</v>
      </c>
      <c r="X41" s="84">
        <f t="shared" si="1"/>
        <v>-24.426340176408225</v>
      </c>
      <c r="Y41" s="84">
        <f t="shared" si="2"/>
        <v>-15.028543834997867</v>
      </c>
      <c r="AB41" t="str">
        <f t="shared" si="26"/>
        <v>-0.00221238938053097+0.0107079423292499i</v>
      </c>
      <c r="AD41">
        <f t="shared" si="14"/>
        <v>70000</v>
      </c>
      <c r="AE41" s="83">
        <f t="shared" si="15"/>
        <v>-39.224333616183081</v>
      </c>
      <c r="AF41" s="83">
        <f t="shared" si="16"/>
        <v>101.6737339277815</v>
      </c>
      <c r="AH41" t="str">
        <f t="shared" si="17"/>
        <v>-1.00221238938053+0.0107079423292499i</v>
      </c>
      <c r="AI41" t="str">
        <f t="shared" si="18"/>
        <v>-0.0792211774066229+0.855379596086759i</v>
      </c>
      <c r="AJ41" t="str">
        <f t="shared" si="27"/>
        <v>211.572466281535-2046.11871352771i</v>
      </c>
      <c r="AK41" s="83">
        <f t="shared" si="19"/>
        <v>-7.9221177406622906E-2</v>
      </c>
      <c r="AL41" s="83">
        <f t="shared" si="4"/>
        <v>0.85537959608675895</v>
      </c>
      <c r="AM41" s="83">
        <f t="shared" si="20"/>
        <v>70000</v>
      </c>
      <c r="AN41" s="83">
        <f t="shared" si="5"/>
        <v>-1.3197291676077931</v>
      </c>
      <c r="AO41" s="83">
        <f t="shared" si="6"/>
        <v>-84.708632836122945</v>
      </c>
      <c r="AR41" t="str">
        <f t="shared" si="7"/>
        <v>0.0087279935390531+0.0508621314249183i</v>
      </c>
      <c r="AT41">
        <f t="shared" si="8"/>
        <v>70000</v>
      </c>
      <c r="AU41">
        <f t="shared" si="21"/>
        <v>-25.746069344016014</v>
      </c>
      <c r="AV41">
        <f t="shared" si="22"/>
        <v>80.262823328879207</v>
      </c>
    </row>
    <row r="42" spans="1:54" ht="21" x14ac:dyDescent="0.35">
      <c r="A42" s="1"/>
      <c r="B42" s="1"/>
      <c r="C42" s="85" t="s">
        <v>250</v>
      </c>
      <c r="D42" s="91">
        <f>'Loop Stability Worksht'!D34</f>
        <v>338799.29529746575</v>
      </c>
      <c r="E42" s="231" t="s">
        <v>27</v>
      </c>
      <c r="F42" s="471" t="s">
        <v>287</v>
      </c>
      <c r="G42" s="472"/>
      <c r="J42" s="1"/>
      <c r="P42">
        <f>10*P31</f>
        <v>80000</v>
      </c>
      <c r="R42" t="str">
        <f t="shared" si="25"/>
        <v>0.0148865448338277-0.00349767003612982i</v>
      </c>
      <c r="S42" t="str">
        <f t="shared" si="9"/>
        <v>0.0580108840507783-0.0136299546455359i</v>
      </c>
      <c r="U42">
        <f t="shared" si="10"/>
        <v>5.8010884050778297E-2</v>
      </c>
      <c r="V42">
        <f t="shared" si="11"/>
        <v>-1.36299546455359E-2</v>
      </c>
      <c r="W42" s="105">
        <f t="shared" si="12"/>
        <v>80000</v>
      </c>
      <c r="X42" s="84">
        <f t="shared" si="1"/>
        <v>-24.49644639643514</v>
      </c>
      <c r="Y42" s="84">
        <f t="shared" si="2"/>
        <v>-13.222114703881855</v>
      </c>
      <c r="AB42" t="str">
        <f t="shared" si="26"/>
        <v>-0.00221238938053097+0.00936944953809363i</v>
      </c>
      <c r="AD42">
        <f t="shared" si="14"/>
        <v>80000</v>
      </c>
      <c r="AE42" s="83">
        <f t="shared" si="15"/>
        <v>-40.330081108310331</v>
      </c>
      <c r="AF42" s="83">
        <f t="shared" si="16"/>
        <v>103.28578304641147</v>
      </c>
      <c r="AH42" t="str">
        <f t="shared" si="17"/>
        <v>-1.00221238938053+0.00936944953809363i</v>
      </c>
      <c r="AI42" t="str">
        <f t="shared" si="18"/>
        <v>-0.0608044734405922+0.750123427726402i</v>
      </c>
      <c r="AJ42" t="str">
        <f t="shared" si="27"/>
        <v>162.387796141246-1794.80393711122i</v>
      </c>
      <c r="AK42" s="83">
        <f t="shared" si="19"/>
        <v>-6.0804473440592199E-2</v>
      </c>
      <c r="AL42" s="83">
        <f t="shared" si="4"/>
        <v>0.75012342772640195</v>
      </c>
      <c r="AM42" s="83">
        <f t="shared" si="20"/>
        <v>80000</v>
      </c>
      <c r="AN42" s="83">
        <f t="shared" si="5"/>
        <v>-2.4689029593697072</v>
      </c>
      <c r="AO42" s="83">
        <f t="shared" si="6"/>
        <v>-85.365776883683964</v>
      </c>
      <c r="AR42" t="str">
        <f t="shared" si="7"/>
        <v>0.00669682703993396+0.0443440854048496i</v>
      </c>
      <c r="AT42">
        <f t="shared" si="8"/>
        <v>80000</v>
      </c>
      <c r="AU42">
        <f t="shared" si="21"/>
        <v>-26.965349355804854</v>
      </c>
      <c r="AV42">
        <f t="shared" si="22"/>
        <v>81.412108412434179</v>
      </c>
    </row>
    <row r="43" spans="1:54" ht="21" x14ac:dyDescent="0.35">
      <c r="A43" s="1"/>
      <c r="B43" s="1"/>
      <c r="C43" s="20"/>
      <c r="D43" s="68"/>
      <c r="E43" s="22"/>
      <c r="F43" s="68"/>
      <c r="G43" s="1"/>
      <c r="H43" s="1"/>
      <c r="J43" s="1"/>
      <c r="P43">
        <f>10*P33</f>
        <v>90000</v>
      </c>
      <c r="R43" t="str">
        <f t="shared" si="25"/>
        <v>0.0148851522214641-0.00310904238048509i</v>
      </c>
      <c r="S43" t="str">
        <f t="shared" si="9"/>
        <v>0.0580054572257323-0.0121155243917605i</v>
      </c>
      <c r="U43">
        <f t="shared" si="10"/>
        <v>5.8005457225732297E-2</v>
      </c>
      <c r="V43">
        <f t="shared" si="11"/>
        <v>-1.21155243917605E-2</v>
      </c>
      <c r="W43" s="105">
        <f t="shared" si="12"/>
        <v>90000</v>
      </c>
      <c r="X43" s="84">
        <f t="shared" si="1"/>
        <v>-24.545173453547513</v>
      </c>
      <c r="Y43" s="84">
        <f t="shared" si="2"/>
        <v>-11.79768402146957</v>
      </c>
      <c r="AB43" t="str">
        <f t="shared" si="26"/>
        <v>-0.00221238938053097+0.00832839958941657i</v>
      </c>
      <c r="AD43">
        <f t="shared" si="14"/>
        <v>90000</v>
      </c>
      <c r="AE43" s="83">
        <f t="shared" si="15"/>
        <v>-41.292631472375668</v>
      </c>
      <c r="AF43" s="83">
        <f t="shared" si="16"/>
        <v>104.87669886953469</v>
      </c>
      <c r="AH43" t="str">
        <f t="shared" si="17"/>
        <v>-1.00221238938053+0.00832839958941657i</v>
      </c>
      <c r="AI43" t="str">
        <f t="shared" si="18"/>
        <v>-0.0481250508129772+0.667796105818572i</v>
      </c>
      <c r="AJ43" t="str">
        <f t="shared" si="27"/>
        <v>128.525427464482-1598.10461317209i</v>
      </c>
      <c r="AK43" s="83">
        <f t="shared" si="19"/>
        <v>-4.8125050812977202E-2</v>
      </c>
      <c r="AL43" s="83">
        <f t="shared" si="4"/>
        <v>0.66779610581857196</v>
      </c>
      <c r="AM43" s="83">
        <f t="shared" si="20"/>
        <v>90000</v>
      </c>
      <c r="AN43" s="83">
        <f t="shared" si="5"/>
        <v>-3.4846259243857922</v>
      </c>
      <c r="AO43" s="83">
        <f t="shared" si="6"/>
        <v>-85.878077601218322</v>
      </c>
      <c r="AR43" t="str">
        <f t="shared" si="7"/>
        <v>0.00529918443234924+0.0393188786785491i</v>
      </c>
      <c r="AT43">
        <f t="shared" si="8"/>
        <v>90000</v>
      </c>
      <c r="AU43">
        <f t="shared" si="21"/>
        <v>-28.029799377933308</v>
      </c>
      <c r="AV43">
        <f t="shared" si="22"/>
        <v>82.324238377312113</v>
      </c>
    </row>
    <row r="44" spans="1:54" ht="21" x14ac:dyDescent="0.35">
      <c r="A44" s="1"/>
      <c r="B44" s="1"/>
      <c r="C44" s="20"/>
      <c r="D44" s="68"/>
      <c r="E44" s="22"/>
      <c r="F44" s="68"/>
      <c r="G44" s="1"/>
      <c r="H44" s="1"/>
      <c r="I44" s="1"/>
      <c r="J44" s="1"/>
      <c r="P44">
        <f>10*P34</f>
        <v>100000</v>
      </c>
      <c r="R44" t="str">
        <f t="shared" si="25"/>
        <v>0.0148841560927416-0.00279813965423606i</v>
      </c>
      <c r="S44" t="str">
        <f t="shared" si="9"/>
        <v>0.0580015754446699-0.0109039778438659i</v>
      </c>
      <c r="U44">
        <f t="shared" si="10"/>
        <v>5.8001575444669898E-2</v>
      </c>
      <c r="V44">
        <f t="shared" si="11"/>
        <v>-1.0903977843865899E-2</v>
      </c>
      <c r="W44" s="105">
        <f t="shared" si="12"/>
        <v>100000</v>
      </c>
      <c r="X44" s="84">
        <f t="shared" si="1"/>
        <v>-24.580366144533684</v>
      </c>
      <c r="Y44" s="84">
        <f t="shared" si="2"/>
        <v>-10.647023979146676</v>
      </c>
      <c r="AB44" t="str">
        <f t="shared" si="26"/>
        <v>-0.00221238938053097+0.00749555963047491i</v>
      </c>
      <c r="AD44">
        <f t="shared" si="14"/>
        <v>100000</v>
      </c>
      <c r="AE44" s="83">
        <f t="shared" si="15"/>
        <v>-42.141146168030801</v>
      </c>
      <c r="AF44" s="83">
        <f t="shared" si="16"/>
        <v>106.44449226584106</v>
      </c>
      <c r="AH44" t="str">
        <f t="shared" si="17"/>
        <v>-1.00221238938053+0.00749555963047491i</v>
      </c>
      <c r="AI44" t="str">
        <f t="shared" si="18"/>
        <v>-0.0390289461254422+0.601674883092072i</v>
      </c>
      <c r="AJ44" t="str">
        <f t="shared" si="27"/>
        <v>104.23286624163-1440.05247894478i</v>
      </c>
      <c r="AK44" s="83">
        <f t="shared" si="19"/>
        <v>-3.90289461254422E-2</v>
      </c>
      <c r="AL44" s="83">
        <f t="shared" si="4"/>
        <v>0.60167488309207195</v>
      </c>
      <c r="AM44" s="83">
        <f t="shared" si="20"/>
        <v>100000</v>
      </c>
      <c r="AN44" s="83">
        <f t="shared" si="5"/>
        <v>-4.3945266694665612</v>
      </c>
      <c r="AO44" s="83">
        <f t="shared" si="6"/>
        <v>-86.288584746793376</v>
      </c>
      <c r="AR44" t="str">
        <f t="shared" si="7"/>
        <v>0.00429690923122577+0.035323661888649i</v>
      </c>
      <c r="AT44">
        <f t="shared" si="8"/>
        <v>100000</v>
      </c>
      <c r="AU44">
        <f t="shared" si="21"/>
        <v>-28.974892814000249</v>
      </c>
      <c r="AV44">
        <f t="shared" si="22"/>
        <v>83.064391274059943</v>
      </c>
    </row>
    <row r="45" spans="1:54" x14ac:dyDescent="0.25">
      <c r="A45" s="1"/>
      <c r="B45" s="1"/>
      <c r="C45" s="1"/>
      <c r="D45" s="66"/>
      <c r="E45" s="65"/>
      <c r="F45" s="66"/>
      <c r="G45" s="1"/>
      <c r="H45" s="1"/>
      <c r="I45" s="1"/>
      <c r="J45" s="1"/>
    </row>
    <row r="46" spans="1:54" x14ac:dyDescent="0.25">
      <c r="A46" s="1"/>
      <c r="B46" s="1"/>
      <c r="C46" s="1"/>
      <c r="D46" s="66"/>
      <c r="E46" s="65"/>
      <c r="F46" s="66"/>
      <c r="G46" s="1"/>
      <c r="H46" s="1"/>
      <c r="I46" s="1"/>
      <c r="J46" s="1"/>
    </row>
    <row r="47" spans="1:54" x14ac:dyDescent="0.25">
      <c r="A47" s="1"/>
      <c r="B47" s="1"/>
      <c r="C47" s="1"/>
      <c r="D47" s="66"/>
      <c r="E47" s="65"/>
      <c r="F47" s="66"/>
      <c r="G47" s="1"/>
      <c r="H47" s="1"/>
      <c r="I47" s="1"/>
      <c r="J47" s="1"/>
      <c r="W47" s="84">
        <v>10</v>
      </c>
      <c r="AB47" t="str">
        <f>COMPLEX($F$39,-1/(6.28*$F$37*W47))</f>
        <v>100-3387992.95297466i</v>
      </c>
    </row>
    <row r="48" spans="1:54" x14ac:dyDescent="0.25">
      <c r="A48" s="1"/>
      <c r="B48" s="1"/>
      <c r="C48" s="1"/>
      <c r="D48" s="66"/>
      <c r="E48" s="65"/>
      <c r="F48" s="66"/>
      <c r="G48" s="1"/>
      <c r="H48" s="1"/>
      <c r="I48" s="1"/>
      <c r="J48" s="1"/>
    </row>
    <row r="49" spans="1:10" x14ac:dyDescent="0.25">
      <c r="A49" s="1"/>
      <c r="B49" s="1"/>
      <c r="C49" s="1"/>
      <c r="D49" s="66"/>
      <c r="E49" s="65"/>
      <c r="F49" s="66"/>
      <c r="G49" s="1"/>
      <c r="H49" s="1"/>
      <c r="I49" s="1"/>
      <c r="J49" s="1"/>
    </row>
    <row r="50" spans="1:10" ht="21" x14ac:dyDescent="0.35">
      <c r="A50" s="1"/>
      <c r="B50" s="1"/>
      <c r="C50" s="20" t="s">
        <v>221</v>
      </c>
      <c r="D50" s="214">
        <v>1</v>
      </c>
      <c r="E50" s="22" t="s">
        <v>35</v>
      </c>
      <c r="F50" s="95"/>
      <c r="G50" s="1"/>
      <c r="H50" s="1"/>
      <c r="I50" s="1"/>
      <c r="J50" s="1"/>
    </row>
    <row r="51" spans="1:10" ht="21" x14ac:dyDescent="0.35">
      <c r="A51" s="1"/>
      <c r="B51" s="1"/>
      <c r="C51" s="20" t="s">
        <v>208</v>
      </c>
      <c r="D51" s="214">
        <v>0.3</v>
      </c>
      <c r="E51" s="22" t="s">
        <v>35</v>
      </c>
      <c r="F51" s="95"/>
      <c r="G51" s="1"/>
      <c r="H51" s="1"/>
      <c r="I51" s="1"/>
      <c r="J51" s="1"/>
    </row>
    <row r="52" spans="1:10" ht="42" x14ac:dyDescent="0.25">
      <c r="A52" s="1"/>
      <c r="B52" s="1"/>
      <c r="C52" s="215" t="s">
        <v>193</v>
      </c>
      <c r="D52" s="216">
        <f>IF('Step 1 - Device Parameters'!K8=400,40.4,1000000)</f>
        <v>1000000</v>
      </c>
      <c r="E52" s="68" t="s">
        <v>71</v>
      </c>
      <c r="F52" s="217">
        <f>L18</f>
        <v>26.443384133872051</v>
      </c>
      <c r="G52" s="218" t="s">
        <v>281</v>
      </c>
      <c r="H52" s="1"/>
      <c r="I52" s="1"/>
      <c r="J52" s="1"/>
    </row>
    <row r="53" spans="1:10" ht="21" x14ac:dyDescent="0.25">
      <c r="A53" s="1"/>
      <c r="B53" s="1"/>
      <c r="C53" s="215" t="s">
        <v>227</v>
      </c>
      <c r="D53" s="219">
        <f>'Loop Stability Worksht'!D19</f>
        <v>4.9999000019999604</v>
      </c>
      <c r="E53" s="68" t="s">
        <v>35</v>
      </c>
      <c r="F53" s="465" t="str">
        <f>IF(L14&lt;L24,"Rfb too small to get full output,increase the value of Rfb","")</f>
        <v/>
      </c>
      <c r="G53" s="466"/>
      <c r="H53" s="1"/>
      <c r="I53" s="1"/>
      <c r="J53" s="1"/>
    </row>
    <row r="54" spans="1:10" x14ac:dyDescent="0.25">
      <c r="A54" s="1"/>
      <c r="B54" s="1"/>
      <c r="C54" s="1" t="s">
        <v>317</v>
      </c>
      <c r="D54" s="66">
        <f>IF('Step 1 - Device Parameters'!K8=400,40,20)</f>
        <v>20</v>
      </c>
      <c r="E54" s="65"/>
      <c r="F54" s="66"/>
      <c r="G54" s="1"/>
      <c r="H54" s="1"/>
      <c r="I54" s="1"/>
      <c r="J54" s="1"/>
    </row>
    <row r="55" spans="1:10" x14ac:dyDescent="0.25">
      <c r="A55" s="108"/>
      <c r="B55" s="108"/>
      <c r="C55" s="108"/>
      <c r="D55" s="241"/>
      <c r="E55" s="242"/>
      <c r="F55" s="241"/>
      <c r="G55" s="108"/>
      <c r="H55" s="108"/>
      <c r="I55" s="108"/>
      <c r="J55" s="108"/>
    </row>
  </sheetData>
  <mergeCells count="19">
    <mergeCell ref="F53:G53"/>
    <mergeCell ref="C19:F19"/>
    <mergeCell ref="C27:D27"/>
    <mergeCell ref="F41:G41"/>
    <mergeCell ref="F42:G42"/>
    <mergeCell ref="C25:D25"/>
    <mergeCell ref="C29:F29"/>
    <mergeCell ref="F30:G30"/>
    <mergeCell ref="F18:G18"/>
    <mergeCell ref="R2:Y2"/>
    <mergeCell ref="AB2:AF2"/>
    <mergeCell ref="AH2:AO2"/>
    <mergeCell ref="AR2:AV2"/>
    <mergeCell ref="K3:L3"/>
    <mergeCell ref="C5:F5"/>
    <mergeCell ref="F7:G7"/>
    <mergeCell ref="C11:F11"/>
    <mergeCell ref="F14:G14"/>
    <mergeCell ref="F15:G15"/>
  </mergeCells>
  <dataValidations count="13">
    <dataValidation type="decimal" errorStyle="warning" operator="greaterThan" allowBlank="1" showInputMessage="1" showErrorMessage="1" errorTitle="Check value" error="Check value" promptTitle="Cout ESR" prompt="in mOhms" sqref="D21">
      <formula1>0</formula1>
    </dataValidation>
    <dataValidation type="decimal" errorStyle="warning" operator="greaterThan" allowBlank="1" showInputMessage="1" showErrorMessage="1" errorTitle="Check value" error="Check value" promptTitle="Cout" prompt="in uF" sqref="D20">
      <formula1>0</formula1>
    </dataValidation>
    <dataValidation type="decimal" errorStyle="warning" operator="greaterThan" allowBlank="1" showInputMessage="1" showErrorMessage="1" errorTitle="Check value" error="Check value" promptTitle="R_Comp" prompt="in kOhms" sqref="D39">
      <formula1>0</formula1>
    </dataValidation>
    <dataValidation type="decimal" errorStyle="warning" operator="greaterThan" allowBlank="1" showInputMessage="1" showErrorMessage="1" errorTitle="Check value" error="Check value" promptTitle="C_Pole " prompt="in nF" sqref="D37:D38">
      <formula1>0</formula1>
    </dataValidation>
    <dataValidation type="decimal" errorStyle="warning" operator="greaterThan" allowBlank="1" showInputMessage="1" showErrorMessage="1" errorTitle="Check value" error="Check value" promptTitle="Cfb in nF" prompt="Cfb in nF" sqref="D17">
      <formula1>0</formula1>
    </dataValidation>
    <dataValidation type="decimal" errorStyle="warning" operator="greaterThan" allowBlank="1" showInputMessage="1" showErrorMessage="1" errorTitle="Check value" error="Check value" promptTitle="Rfb" prompt="Rfb in kOhms" sqref="D52">
      <formula1>0</formula1>
    </dataValidation>
    <dataValidation type="decimal" errorStyle="warning" operator="greaterThan" allowBlank="1" showInputMessage="1" showErrorMessage="1" errorTitle="Check value" error="Check value" promptTitle="Opto Effective Output Capacitanc" prompt="In nF" sqref="D7">
      <formula1>0</formula1>
    </dataValidation>
    <dataValidation type="decimal" errorStyle="warning" operator="greaterThan" allowBlank="1" showInputMessage="1" showErrorMessage="1" errorTitle="Check Vce" error="Check Vce" promptTitle="Opto Vce_sat" prompt="Opto Vce_sat" sqref="D51">
      <formula1>0</formula1>
    </dataValidation>
    <dataValidation type="decimal" errorStyle="warning" operator="greaterThan" allowBlank="1" showInputMessage="1" showErrorMessage="1" errorTitle="Check Vled" error="Check Vled" promptTitle="Opto Vled" prompt="Opto Vled" sqref="D50">
      <formula1>0</formula1>
    </dataValidation>
    <dataValidation type="decimal" errorStyle="warning" operator="greaterThan" allowBlank="1" showInputMessage="1" showErrorMessage="1" errorTitle="Check CTR" error="Check CTR" promptTitle="Opto CTR" prompt="Opto CTR" sqref="D6">
      <formula1>0</formula1>
    </dataValidation>
    <dataValidation type="decimal" errorStyle="warning" allowBlank="1" showInputMessage="1" showErrorMessage="1" error="Percentage must be between 0 and 99.999%" promptTitle="Input Percentage Current Load" prompt="Input Percentage load that is a current source" sqref="E23">
      <formula1>0</formula1>
      <formula2>0.99999</formula2>
    </dataValidation>
    <dataValidation type="decimal" operator="greaterThan" allowBlank="1" showInputMessage="1" showErrorMessage="1" promptTitle="R22 Selection" prompt="Select the Value of R22" sqref="D31:D32">
      <formula1>0</formula1>
    </dataValidation>
    <dataValidation type="decimal" operator="greaterThan" allowBlank="1" showInputMessage="1" showErrorMessage="1" promptTitle="Select Lower Resistor" prompt="Select the lower feedback voltage divider resistor.  Typical values are between 1k and 100k." sqref="D34">
      <formula1>0</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Charts</vt:lpstr>
      </vt:variant>
      <vt:variant>
        <vt:i4>4</vt:i4>
      </vt:variant>
    </vt:vector>
  </HeadingPairs>
  <TitlesOfParts>
    <vt:vector size="15" baseType="lpstr">
      <vt:lpstr>Introduction</vt:lpstr>
      <vt:lpstr>Step 1 - Device Parameters</vt:lpstr>
      <vt:lpstr>Step 2 - Operating Conditions</vt:lpstr>
      <vt:lpstr>Cbulk Calc</vt:lpstr>
      <vt:lpstr>Vmin-other</vt:lpstr>
      <vt:lpstr>Step 2A -  Other Conditions</vt:lpstr>
      <vt:lpstr>Step 3 - Component Selection</vt:lpstr>
      <vt:lpstr>Step 4 - Transformer Spec</vt:lpstr>
      <vt:lpstr>Step 5 - Loop Stability</vt:lpstr>
      <vt:lpstr>Loop Stability Worksht</vt:lpstr>
      <vt:lpstr>Resistor Values</vt:lpstr>
      <vt:lpstr>Loop Gain</vt:lpstr>
      <vt:lpstr>Plant Gain-Phase</vt:lpstr>
      <vt:lpstr>Compensator Response</vt:lpstr>
      <vt:lpstr>TL431 Freq Response</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Frazier Pruett</dc:creator>
  <cp:lastModifiedBy>Frazier Pruett</cp:lastModifiedBy>
  <dcterms:created xsi:type="dcterms:W3CDTF">2020-03-27T18:29:26Z</dcterms:created>
  <dcterms:modified xsi:type="dcterms:W3CDTF">2020-10-30T20:26:01Z</dcterms:modified>
</cp:coreProperties>
</file>